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/>
  </bookViews>
  <sheets>
    <sheet name="Month to Month Equity" sheetId="4" r:id="rId1"/>
  </sheets>
  <definedNames>
    <definedName name="_xlnm.Print_Area" localSheetId="0">'Month to Month Equity'!$A$1:$W$67</definedName>
  </definedNames>
  <calcPr calcId="145621"/>
</workbook>
</file>

<file path=xl/calcChain.xml><?xml version="1.0" encoding="utf-8"?>
<calcChain xmlns="http://schemas.openxmlformats.org/spreadsheetml/2006/main">
  <c r="C42" i="4" l="1"/>
  <c r="C29" i="4"/>
  <c r="C26" i="4"/>
  <c r="H38" i="4" l="1"/>
  <c r="H39" i="4"/>
  <c r="G38" i="4"/>
  <c r="K37" i="4" l="1"/>
  <c r="G39" i="4"/>
  <c r="M39" i="4"/>
  <c r="M37" i="4"/>
  <c r="M36" i="4"/>
  <c r="L39" i="4"/>
  <c r="L37" i="4"/>
  <c r="L38" i="4"/>
  <c r="L51" i="4"/>
  <c r="K39" i="4"/>
  <c r="K51" i="4"/>
  <c r="I48" i="4"/>
  <c r="H37" i="4"/>
  <c r="H36" i="4"/>
  <c r="H51" i="4"/>
  <c r="J57" i="4" l="1"/>
  <c r="H42" i="4"/>
  <c r="M29" i="4" l="1"/>
  <c r="L29" i="4"/>
  <c r="I29" i="4"/>
  <c r="H29" i="4"/>
  <c r="G29" i="4"/>
  <c r="H26" i="4"/>
  <c r="W26" i="4"/>
  <c r="C52" i="4" l="1"/>
  <c r="C51" i="4"/>
  <c r="C41" i="4"/>
  <c r="C40" i="4"/>
  <c r="C39" i="4"/>
  <c r="C38" i="4"/>
  <c r="C37" i="4"/>
  <c r="C36" i="4"/>
  <c r="C35" i="4"/>
  <c r="C23" i="4"/>
  <c r="C22" i="4"/>
  <c r="C30" i="4" l="1"/>
  <c r="H34" i="4"/>
  <c r="H41" i="4"/>
  <c r="H48" i="4"/>
  <c r="G51" i="4"/>
  <c r="G36" i="4"/>
  <c r="G35" i="4"/>
  <c r="G23" i="4" l="1"/>
  <c r="G24" i="4"/>
  <c r="H40" i="4"/>
  <c r="I36" i="4"/>
  <c r="I38" i="4"/>
  <c r="I51" i="4"/>
  <c r="I37" i="4"/>
  <c r="I40" i="4"/>
  <c r="I39" i="4"/>
  <c r="H24" i="4"/>
  <c r="I23" i="4"/>
  <c r="K36" i="4"/>
  <c r="K41" i="4"/>
  <c r="L42" i="4"/>
  <c r="L25" i="4"/>
  <c r="M41" i="4"/>
  <c r="M22" i="4"/>
  <c r="M24" i="4"/>
  <c r="M42" i="4" l="1"/>
  <c r="M38" i="4"/>
  <c r="M40" i="4"/>
  <c r="M16" i="4"/>
  <c r="L36" i="4" l="1"/>
  <c r="L41" i="4"/>
  <c r="L40" i="4"/>
  <c r="L34" i="4"/>
  <c r="L18" i="4"/>
  <c r="L16" i="4"/>
  <c r="L10" i="4"/>
  <c r="L19" i="4"/>
  <c r="K13" i="4" l="1"/>
  <c r="W28" i="4"/>
  <c r="K22" i="4" l="1"/>
  <c r="K45" i="4"/>
  <c r="K38" i="4"/>
  <c r="K40" i="4"/>
  <c r="K16" i="4"/>
  <c r="K24" i="4"/>
  <c r="H20" i="4" l="1"/>
  <c r="H19" i="4"/>
  <c r="G37" i="4"/>
  <c r="G49" i="4"/>
  <c r="G40" i="4"/>
  <c r="G22" i="4"/>
  <c r="G20" i="4"/>
  <c r="T54" i="4" l="1"/>
  <c r="W20" i="4"/>
  <c r="S54" i="4" l="1"/>
  <c r="U54" i="4"/>
  <c r="W47" i="4" l="1"/>
  <c r="W45" i="4"/>
  <c r="W41" i="4"/>
  <c r="W22" i="4"/>
  <c r="W16" i="4"/>
  <c r="J63" i="4"/>
  <c r="W62" i="4"/>
  <c r="W58" i="4"/>
  <c r="W39" i="4"/>
  <c r="W43" i="4"/>
  <c r="W44" i="4"/>
  <c r="W48" i="4"/>
  <c r="W49" i="4"/>
  <c r="W50" i="4"/>
  <c r="W52" i="4"/>
  <c r="W12" i="4"/>
  <c r="W13" i="4"/>
  <c r="W14" i="4"/>
  <c r="W15" i="4"/>
  <c r="W17" i="4"/>
  <c r="W18" i="4"/>
  <c r="W21" i="4"/>
  <c r="W23" i="4"/>
  <c r="W24" i="4"/>
  <c r="W27" i="4"/>
  <c r="W29" i="4"/>
  <c r="W10" i="4"/>
  <c r="L30" i="4"/>
  <c r="W19" i="4"/>
  <c r="W60" i="4"/>
  <c r="K54" i="4"/>
  <c r="W46" i="4"/>
  <c r="W11" i="4"/>
  <c r="G54" i="4"/>
  <c r="E63" i="4"/>
  <c r="W40" i="4"/>
  <c r="W38" i="4"/>
  <c r="W36" i="4"/>
  <c r="W35" i="4"/>
  <c r="W25" i="4"/>
  <c r="G30" i="4"/>
  <c r="B59" i="4"/>
  <c r="B39" i="4"/>
  <c r="B37" i="4"/>
  <c r="B51" i="4"/>
  <c r="B38" i="4"/>
  <c r="B36" i="4"/>
  <c r="B45" i="4"/>
  <c r="B41" i="4"/>
  <c r="B52" i="4"/>
  <c r="B40" i="4"/>
  <c r="B13" i="4"/>
  <c r="B29" i="4"/>
  <c r="C59" i="4"/>
  <c r="C54" i="4"/>
  <c r="O30" i="4"/>
  <c r="Q30" i="4"/>
  <c r="S30" i="4"/>
  <c r="T30" i="4"/>
  <c r="U30" i="4"/>
  <c r="G59" i="4"/>
  <c r="H59" i="4"/>
  <c r="I59" i="4"/>
  <c r="K59" i="4"/>
  <c r="L59" i="4"/>
  <c r="M59" i="4"/>
  <c r="O59" i="4"/>
  <c r="P59" i="4"/>
  <c r="Q59" i="4"/>
  <c r="S59" i="4"/>
  <c r="S61" i="4" s="1"/>
  <c r="T59" i="4"/>
  <c r="T61" i="4" s="1"/>
  <c r="U59" i="4"/>
  <c r="U61" i="4" s="1"/>
  <c r="H30" i="4"/>
  <c r="H54" i="4"/>
  <c r="K30" i="4"/>
  <c r="W42" i="4"/>
  <c r="W51" i="4"/>
  <c r="W37" i="4"/>
  <c r="M30" i="4"/>
  <c r="B54" i="4" l="1"/>
  <c r="B61" i="4" s="1"/>
  <c r="B30" i="4"/>
  <c r="B63" i="4" s="1"/>
  <c r="B65" i="4" s="1"/>
  <c r="K61" i="4"/>
  <c r="H61" i="4"/>
  <c r="C61" i="4"/>
  <c r="G63" i="4"/>
  <c r="G61" i="4"/>
  <c r="H63" i="4"/>
  <c r="I54" i="4"/>
  <c r="I61" i="4" s="1"/>
  <c r="U63" i="4"/>
  <c r="T63" i="4"/>
  <c r="S63" i="4"/>
  <c r="C63" i="4"/>
  <c r="C65" i="4" s="1"/>
  <c r="G5" i="4" s="1"/>
  <c r="W59" i="4"/>
  <c r="L54" i="4"/>
  <c r="L61" i="4" s="1"/>
  <c r="K63" i="4"/>
  <c r="P30" i="4"/>
  <c r="I30" i="4"/>
  <c r="W34" i="4"/>
  <c r="W30" i="4" l="1"/>
  <c r="G65" i="4"/>
  <c r="H5" i="4" s="1"/>
  <c r="H65" i="4" s="1"/>
  <c r="L63" i="4"/>
  <c r="I63" i="4"/>
  <c r="I65" i="4" s="1"/>
  <c r="K5" i="4" s="1"/>
  <c r="K65" i="4" s="1"/>
  <c r="L5" i="4" s="1"/>
  <c r="W5" i="4"/>
  <c r="M54" i="4"/>
  <c r="L65" i="4" l="1"/>
  <c r="M5" i="4" s="1"/>
  <c r="M61" i="4"/>
  <c r="O54" i="4"/>
  <c r="O61" i="4" s="1"/>
  <c r="O63" i="4" s="1"/>
  <c r="M63" i="4" l="1"/>
  <c r="M65" i="4" s="1"/>
  <c r="O5" i="4" s="1"/>
  <c r="O65" i="4" s="1"/>
  <c r="P5" i="4" s="1"/>
  <c r="Q54" i="4"/>
  <c r="Q61" i="4" s="1"/>
  <c r="Q63" i="4" s="1"/>
  <c r="P54" i="4"/>
  <c r="P61" i="4" s="1"/>
  <c r="P63" i="4" s="1"/>
  <c r="W53" i="4"/>
  <c r="W61" i="4" l="1"/>
  <c r="P65" i="4"/>
  <c r="Q5" i="4" s="1"/>
  <c r="Q65" i="4" s="1"/>
  <c r="S5" i="4" s="1"/>
  <c r="S65" i="4" s="1"/>
  <c r="T5" i="4" s="1"/>
  <c r="T65" i="4" s="1"/>
  <c r="U5" i="4" s="1"/>
  <c r="U65" i="4" s="1"/>
  <c r="W54" i="4"/>
  <c r="W63" i="4" l="1"/>
  <c r="W65" i="4" s="1"/>
</calcChain>
</file>

<file path=xl/comments1.xml><?xml version="1.0" encoding="utf-8"?>
<comments xmlns="http://schemas.openxmlformats.org/spreadsheetml/2006/main">
  <authors>
    <author>Sue Wang</author>
  </authors>
  <commentList>
    <comment ref="A35" authorId="0">
      <text>
        <r>
          <rPr>
            <b/>
            <sz val="9"/>
            <color indexed="81"/>
            <rFont val="Tahoma"/>
            <family val="2"/>
          </rPr>
          <t>Sue Wang:</t>
        </r>
        <r>
          <rPr>
            <sz val="9"/>
            <color indexed="81"/>
            <rFont val="Tahoma"/>
            <family val="2"/>
          </rPr>
          <t xml:space="preserve">
Rover expense included</t>
        </r>
      </text>
    </comment>
    <comment ref="I35" authorId="0">
      <text>
        <r>
          <rPr>
            <b/>
            <sz val="9"/>
            <color indexed="81"/>
            <rFont val="Tahoma"/>
            <family val="2"/>
          </rPr>
          <t>Sue Wang:</t>
        </r>
        <r>
          <rPr>
            <sz val="9"/>
            <color indexed="81"/>
            <rFont val="Tahoma"/>
            <family val="2"/>
          </rPr>
          <t xml:space="preserve">
rover expenses</t>
        </r>
      </text>
    </comment>
    <comment ref="H42" authorId="0">
      <text>
        <r>
          <rPr>
            <b/>
            <sz val="9"/>
            <color indexed="81"/>
            <rFont val="Tahoma"/>
            <family val="2"/>
          </rPr>
          <t>Sue Wang:</t>
        </r>
        <r>
          <rPr>
            <sz val="9"/>
            <color indexed="81"/>
            <rFont val="Tahoma"/>
            <family val="2"/>
          </rPr>
          <t xml:space="preserve">
advertising:287.87
</t>
        </r>
      </text>
    </comment>
  </commentList>
</comments>
</file>

<file path=xl/sharedStrings.xml><?xml version="1.0" encoding="utf-8"?>
<sst xmlns="http://schemas.openxmlformats.org/spreadsheetml/2006/main" count="78" uniqueCount="70">
  <si>
    <t>Ending Equity</t>
  </si>
  <si>
    <t>Net Income (Loss)</t>
  </si>
  <si>
    <t>Total Expenses</t>
  </si>
  <si>
    <t>Capital Related Expenses</t>
  </si>
  <si>
    <t>Operating Expenses</t>
  </si>
  <si>
    <t>Administrative Costs</t>
  </si>
  <si>
    <t>Total Revenues</t>
  </si>
  <si>
    <t>Fund Raising Event</t>
  </si>
  <si>
    <t>Total</t>
  </si>
  <si>
    <t>Budget</t>
  </si>
  <si>
    <t>Revenue</t>
  </si>
  <si>
    <t>Month 12</t>
  </si>
  <si>
    <t>Month 11</t>
  </si>
  <si>
    <t>Month 10</t>
  </si>
  <si>
    <t>Month 9</t>
  </si>
  <si>
    <t>Month 8</t>
  </si>
  <si>
    <t>Month 7</t>
  </si>
  <si>
    <t>Month 6</t>
  </si>
  <si>
    <t>Month 5</t>
  </si>
  <si>
    <t>Month 4</t>
  </si>
  <si>
    <t>Month 3</t>
  </si>
  <si>
    <t>Month 2</t>
  </si>
  <si>
    <t>Month 1</t>
  </si>
  <si>
    <t>Beginning Equity</t>
  </si>
  <si>
    <t>Full year</t>
  </si>
  <si>
    <t>Other Revenue</t>
  </si>
  <si>
    <t>Kitchen Reconstruction</t>
  </si>
  <si>
    <t>Total Operating Expenses</t>
  </si>
  <si>
    <t xml:space="preserve">  Spring Bloom</t>
  </si>
  <si>
    <t xml:space="preserve">  Block Party</t>
  </si>
  <si>
    <t xml:space="preserve">  Sugar Creek Festival</t>
  </si>
  <si>
    <t xml:space="preserve">  Grant Revenue</t>
  </si>
  <si>
    <t xml:space="preserve">  Individual Contributions</t>
  </si>
  <si>
    <t xml:space="preserve">  Corporate Contributions</t>
  </si>
  <si>
    <t xml:space="preserve">  Trustee/Board Contributions</t>
  </si>
  <si>
    <t>Grant and Contributions</t>
  </si>
  <si>
    <t>Fundraising &amp; Grantmaking Expense</t>
  </si>
  <si>
    <t xml:space="preserve">   Utilities, Telephone, Website &amp; Security</t>
  </si>
  <si>
    <t xml:space="preserve">   Building/Equipment Maintenance</t>
  </si>
  <si>
    <t xml:space="preserve">   Administrative Costs - Other</t>
  </si>
  <si>
    <t>McLean County Arts Center</t>
  </si>
  <si>
    <t xml:space="preserve">   Accounting, Auditing &amp; Legal</t>
  </si>
  <si>
    <t xml:space="preserve">   Insurance, Taxes &amp; Bank fees</t>
  </si>
  <si>
    <t xml:space="preserve">  Holiday Treasures</t>
  </si>
  <si>
    <t>Endowment</t>
  </si>
  <si>
    <t>Exhibits/Sponsorship</t>
  </si>
  <si>
    <t>Grantmaking Expense</t>
  </si>
  <si>
    <t>Exhibits</t>
  </si>
  <si>
    <t>Endowment-Int &amp; Div</t>
  </si>
  <si>
    <t>Actual</t>
  </si>
  <si>
    <t>FY 2011</t>
  </si>
  <si>
    <t>Gallery/Publication Sales</t>
  </si>
  <si>
    <t xml:space="preserve">   Non-Salaried-Teachers &amp; Education Supplies</t>
  </si>
  <si>
    <t xml:space="preserve">   Salaries &amp; Fringe - Staff</t>
  </si>
  <si>
    <t>Total Capital Related Expenses</t>
  </si>
  <si>
    <t>Balance in checking account</t>
  </si>
  <si>
    <t xml:space="preserve">  125th Anniversary</t>
  </si>
  <si>
    <t>YTD</t>
  </si>
  <si>
    <t>4th QTR</t>
  </si>
  <si>
    <t>3rd QTR</t>
  </si>
  <si>
    <t>2nd QTR</t>
  </si>
  <si>
    <t>1st QTR</t>
  </si>
  <si>
    <t>FY2014</t>
  </si>
  <si>
    <t>FY 2013</t>
  </si>
  <si>
    <t xml:space="preserve">   Dues, Subscriptions and Advertising</t>
  </si>
  <si>
    <t xml:space="preserve">   Supplies, Printing, Postage &amp; Other Office Expense</t>
  </si>
  <si>
    <t>Tuition Income/Education</t>
  </si>
  <si>
    <t>Membership Dues</t>
  </si>
  <si>
    <t>AART</t>
  </si>
  <si>
    <t>Profit and Loss Report-Cash Basis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</si>
</sst>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[$-409]mmm\-yy;@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</cellStyleXfs>
  <cellXfs count="68">
    <xf numFmtId="0" fontId="0" fillId="0" borderId="0" xfId="0"/>
    <xf numFmtId="0" fontId="1" fillId="0" borderId="0" xfId="3"/>
    <xf numFmtId="0" fontId="2" fillId="0" borderId="0" xfId="3" applyFont="1" applyFill="1"/>
    <xf numFmtId="43" fontId="16" fillId="0" borderId="0" xfId="2" applyFont="1"/>
    <xf numFmtId="43" fontId="16" fillId="0" borderId="0" xfId="2" applyFont="1" applyBorder="1"/>
    <xf numFmtId="0" fontId="4" fillId="0" borderId="0" xfId="3" applyFont="1" applyFill="1" applyBorder="1"/>
    <xf numFmtId="0" fontId="1" fillId="0" borderId="0" xfId="3" applyFill="1"/>
    <xf numFmtId="43" fontId="2" fillId="0" borderId="1" xfId="2" applyFont="1" applyFill="1" applyBorder="1"/>
    <xf numFmtId="43" fontId="2" fillId="0" borderId="0" xfId="2" applyFont="1" applyFill="1"/>
    <xf numFmtId="0" fontId="1" fillId="0" borderId="0" xfId="3" applyFill="1" applyBorder="1"/>
    <xf numFmtId="0" fontId="2" fillId="0" borderId="0" xfId="3" applyFont="1" applyFill="1" applyBorder="1"/>
    <xf numFmtId="43" fontId="4" fillId="2" borderId="0" xfId="2" applyFont="1" applyFill="1" applyAlignment="1">
      <alignment horizontal="center"/>
    </xf>
    <xf numFmtId="0" fontId="4" fillId="0" borderId="0" xfId="3" applyFont="1" applyFill="1"/>
    <xf numFmtId="0" fontId="5" fillId="0" borderId="0" xfId="3" applyFont="1"/>
    <xf numFmtId="0" fontId="3" fillId="0" borderId="0" xfId="3" applyFont="1" applyFill="1" applyBorder="1" applyAlignment="1">
      <alignment horizontal="left"/>
    </xf>
    <xf numFmtId="0" fontId="1" fillId="0" borderId="0" xfId="3" applyFont="1" applyFill="1"/>
    <xf numFmtId="0" fontId="1" fillId="0" borderId="0" xfId="3" applyFont="1" applyFill="1" applyAlignment="1">
      <alignment horizontal="left"/>
    </xf>
    <xf numFmtId="0" fontId="1" fillId="0" borderId="0" xfId="3" applyFont="1"/>
    <xf numFmtId="0" fontId="4" fillId="0" borderId="0" xfId="3" applyFont="1" applyFill="1" applyAlignment="1">
      <alignment horizontal="left"/>
    </xf>
    <xf numFmtId="0" fontId="1" fillId="0" borderId="1" xfId="3" applyFont="1" applyFill="1" applyBorder="1" applyAlignment="1">
      <alignment horizontal="left"/>
    </xf>
    <xf numFmtId="0" fontId="4" fillId="0" borderId="0" xfId="3" applyFont="1" applyFill="1" applyBorder="1" applyAlignment="1">
      <alignment horizontal="left"/>
    </xf>
    <xf numFmtId="0" fontId="6" fillId="0" borderId="0" xfId="3" applyFont="1" applyFill="1" applyAlignment="1">
      <alignment horizontal="left"/>
    </xf>
    <xf numFmtId="0" fontId="6" fillId="0" borderId="0" xfId="3" applyFont="1" applyFill="1"/>
    <xf numFmtId="0" fontId="6" fillId="0" borderId="1" xfId="3" applyFont="1" applyFill="1" applyBorder="1" applyAlignment="1">
      <alignment horizontal="left"/>
    </xf>
    <xf numFmtId="0" fontId="4" fillId="0" borderId="0" xfId="3" applyFont="1"/>
    <xf numFmtId="0" fontId="6" fillId="0" borderId="1" xfId="3" applyFont="1" applyFill="1" applyBorder="1"/>
    <xf numFmtId="0" fontId="7" fillId="0" borderId="0" xfId="3" applyFont="1"/>
    <xf numFmtId="37" fontId="2" fillId="0" borderId="0" xfId="2" applyNumberFormat="1" applyFont="1" applyFill="1"/>
    <xf numFmtId="37" fontId="2" fillId="0" borderId="1" xfId="2" applyNumberFormat="1" applyFont="1" applyFill="1" applyBorder="1"/>
    <xf numFmtId="37" fontId="16" fillId="0" borderId="0" xfId="2" applyNumberFormat="1" applyFont="1"/>
    <xf numFmtId="37" fontId="4" fillId="2" borderId="0" xfId="2" applyNumberFormat="1" applyFont="1" applyFill="1" applyAlignment="1">
      <alignment horizontal="center"/>
    </xf>
    <xf numFmtId="37" fontId="2" fillId="0" borderId="0" xfId="2" applyNumberFormat="1" applyFont="1" applyFill="1" applyBorder="1"/>
    <xf numFmtId="37" fontId="1" fillId="0" borderId="0" xfId="2" applyNumberFormat="1" applyFont="1" applyFill="1" applyBorder="1"/>
    <xf numFmtId="37" fontId="1" fillId="0" borderId="0" xfId="2" applyNumberFormat="1" applyFont="1" applyFill="1"/>
    <xf numFmtId="37" fontId="1" fillId="0" borderId="0" xfId="2" applyNumberFormat="1" applyFont="1"/>
    <xf numFmtId="37" fontId="8" fillId="0" borderId="0" xfId="2" applyNumberFormat="1" applyFont="1"/>
    <xf numFmtId="37" fontId="16" fillId="0" borderId="1" xfId="2" applyNumberFormat="1" applyFont="1" applyBorder="1"/>
    <xf numFmtId="37" fontId="16" fillId="0" borderId="0" xfId="2" applyNumberFormat="1" applyFont="1" applyBorder="1"/>
    <xf numFmtId="0" fontId="10" fillId="0" borderId="0" xfId="3" applyFont="1" applyFill="1" applyBorder="1" applyAlignment="1">
      <alignment horizontal="left"/>
    </xf>
    <xf numFmtId="0" fontId="10" fillId="0" borderId="0" xfId="3" applyFont="1" applyFill="1" applyAlignment="1">
      <alignment horizontal="left"/>
    </xf>
    <xf numFmtId="3" fontId="4" fillId="0" borderId="1" xfId="3" applyNumberFormat="1" applyFont="1" applyFill="1" applyBorder="1"/>
    <xf numFmtId="37" fontId="9" fillId="0" borderId="1" xfId="2" applyNumberFormat="1" applyFont="1" applyBorder="1"/>
    <xf numFmtId="37" fontId="4" fillId="0" borderId="1" xfId="2" applyNumberFormat="1" applyFont="1" applyFill="1" applyBorder="1"/>
    <xf numFmtId="164" fontId="4" fillId="2" borderId="0" xfId="2" applyNumberFormat="1" applyFont="1" applyFill="1" applyAlignment="1">
      <alignment horizontal="center"/>
    </xf>
    <xf numFmtId="0" fontId="1" fillId="0" borderId="0" xfId="3" applyFont="1" applyAlignment="1">
      <alignment horizontal="right"/>
    </xf>
    <xf numFmtId="41" fontId="1" fillId="0" borderId="0" xfId="1" applyNumberFormat="1" applyFont="1" applyFill="1"/>
    <xf numFmtId="41" fontId="2" fillId="0" borderId="1" xfId="2" applyNumberFormat="1" applyFont="1" applyFill="1" applyBorder="1"/>
    <xf numFmtId="41" fontId="17" fillId="0" borderId="0" xfId="2" applyNumberFormat="1" applyFont="1"/>
    <xf numFmtId="41" fontId="17" fillId="0" borderId="0" xfId="2" applyNumberFormat="1" applyFont="1" applyBorder="1"/>
    <xf numFmtId="41" fontId="4" fillId="0" borderId="0" xfId="3" applyNumberFormat="1" applyFont="1" applyFill="1" applyBorder="1" applyAlignment="1">
      <alignment horizontal="left"/>
    </xf>
    <xf numFmtId="41" fontId="2" fillId="0" borderId="0" xfId="2" applyNumberFormat="1" applyFont="1" applyFill="1" applyBorder="1"/>
    <xf numFmtId="41" fontId="1" fillId="0" borderId="0" xfId="2" applyNumberFormat="1" applyFont="1" applyFill="1" applyBorder="1"/>
    <xf numFmtId="41" fontId="1" fillId="0" borderId="0" xfId="2" applyNumberFormat="1" applyFont="1" applyFill="1"/>
    <xf numFmtId="41" fontId="2" fillId="0" borderId="0" xfId="2" applyNumberFormat="1" applyFont="1" applyFill="1"/>
    <xf numFmtId="41" fontId="4" fillId="0" borderId="1" xfId="2" applyNumberFormat="1" applyFont="1" applyFill="1" applyBorder="1"/>
    <xf numFmtId="41" fontId="13" fillId="0" borderId="0" xfId="2" applyNumberFormat="1" applyFont="1" applyFill="1"/>
    <xf numFmtId="41" fontId="1" fillId="0" borderId="0" xfId="2" applyNumberFormat="1" applyFont="1"/>
    <xf numFmtId="41" fontId="13" fillId="0" borderId="0" xfId="2" applyNumberFormat="1" applyFont="1"/>
    <xf numFmtId="41" fontId="2" fillId="0" borderId="0" xfId="2" applyNumberFormat="1" applyFont="1"/>
    <xf numFmtId="41" fontId="8" fillId="0" borderId="0" xfId="2" applyNumberFormat="1" applyFont="1"/>
    <xf numFmtId="41" fontId="16" fillId="0" borderId="0" xfId="2" applyNumberFormat="1" applyFont="1"/>
    <xf numFmtId="41" fontId="12" fillId="0" borderId="0" xfId="2" applyNumberFormat="1" applyFont="1"/>
    <xf numFmtId="41" fontId="1" fillId="0" borderId="0" xfId="3" applyNumberFormat="1" applyFont="1"/>
    <xf numFmtId="41" fontId="13" fillId="0" borderId="0" xfId="2" applyNumberFormat="1" applyFont="1" applyFill="1" applyBorder="1"/>
    <xf numFmtId="41" fontId="17" fillId="0" borderId="1" xfId="2" applyNumberFormat="1" applyFont="1" applyBorder="1"/>
    <xf numFmtId="41" fontId="4" fillId="0" borderId="0" xfId="2" applyNumberFormat="1" applyFont="1" applyFill="1" applyBorder="1"/>
    <xf numFmtId="43" fontId="0" fillId="0" borderId="0" xfId="2" applyFont="1"/>
    <xf numFmtId="17" fontId="4" fillId="2" borderId="0" xfId="2" applyNumberFormat="1" applyFont="1" applyFill="1" applyAlignment="1">
      <alignment horizontal="center"/>
    </xf>
  </cellXfs>
  <cellStyles count="4">
    <cellStyle name="Comma" xfId="1" builtinId="3"/>
    <cellStyle name="Comma 2" xfId="2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T67"/>
  <sheetViews>
    <sheetView tabSelected="1" zoomScaleNormal="100" zoomScaleSheetLayoutView="100" workbookViewId="0">
      <pane xSplit="1" ySplit="8" topLeftCell="C9" activePane="bottomRight" state="frozen"/>
      <selection activeCell="F15" sqref="F15"/>
      <selection pane="topRight" activeCell="F15" sqref="F15"/>
      <selection pane="bottomLeft" activeCell="F15" sqref="F15"/>
      <selection pane="bottomRight" activeCell="H29" sqref="H29"/>
    </sheetView>
  </sheetViews>
  <sheetFormatPr defaultRowHeight="15" x14ac:dyDescent="0.25"/>
  <cols>
    <col min="1" max="1" width="47.42578125" style="17" bestFit="1" customWidth="1"/>
    <col min="2" max="2" width="13.28515625" style="17" hidden="1" customWidth="1"/>
    <col min="3" max="3" width="10.5703125" style="3" bestFit="1" customWidth="1"/>
    <col min="4" max="4" width="2.140625" style="17" customWidth="1"/>
    <col min="5" max="5" width="11.85546875" style="3" hidden="1" customWidth="1"/>
    <col min="6" max="6" width="2.140625" style="17" hidden="1" customWidth="1"/>
    <col min="7" max="9" width="9.28515625" style="3" customWidth="1"/>
    <col min="10" max="10" width="2.140625" style="17" customWidth="1"/>
    <col min="11" max="13" width="9.28515625" style="3" customWidth="1"/>
    <col min="14" max="14" width="2.140625" style="17" customWidth="1"/>
    <col min="15" max="17" width="9.28515625" style="3" hidden="1" customWidth="1"/>
    <col min="18" max="18" width="2.140625" style="17" hidden="1" customWidth="1"/>
    <col min="19" max="21" width="11.28515625" style="3" hidden="1" customWidth="1"/>
    <col min="22" max="22" width="2.140625" style="17" hidden="1" customWidth="1"/>
    <col min="23" max="23" width="11.5703125" style="29" customWidth="1"/>
    <col min="24" max="16384" width="9.140625" style="1"/>
  </cols>
  <sheetData>
    <row r="1" spans="1:23" s="2" customFormat="1" ht="15.75" x14ac:dyDescent="0.25">
      <c r="A1" s="13" t="s">
        <v>40</v>
      </c>
      <c r="B1" s="26"/>
      <c r="C1" s="8"/>
      <c r="D1" s="26"/>
      <c r="E1" s="8"/>
      <c r="F1" s="26"/>
      <c r="G1" s="8"/>
      <c r="H1" s="8"/>
      <c r="I1" s="8"/>
      <c r="J1" s="26"/>
      <c r="K1" s="8"/>
      <c r="L1" s="8"/>
      <c r="M1" s="8"/>
      <c r="N1" s="26"/>
      <c r="O1" s="8"/>
      <c r="P1" s="8"/>
      <c r="Q1" s="8"/>
      <c r="R1" s="26"/>
      <c r="S1" s="8"/>
      <c r="T1" s="8"/>
      <c r="U1" s="8"/>
      <c r="V1" s="26"/>
      <c r="W1" s="27"/>
    </row>
    <row r="2" spans="1:23" s="2" customFormat="1" ht="15.75" x14ac:dyDescent="0.25">
      <c r="A2" s="13" t="s">
        <v>69</v>
      </c>
      <c r="B2" s="26"/>
      <c r="C2" s="8"/>
      <c r="D2" s="26"/>
      <c r="E2" s="8"/>
      <c r="F2" s="26"/>
      <c r="G2" s="8"/>
      <c r="H2" s="8"/>
      <c r="I2" s="8"/>
      <c r="J2" s="26"/>
      <c r="K2" s="8"/>
      <c r="L2" s="8"/>
      <c r="M2" s="8"/>
      <c r="N2" s="26"/>
      <c r="O2" s="8"/>
      <c r="P2" s="8"/>
      <c r="Q2" s="8"/>
      <c r="R2" s="26"/>
      <c r="S2" s="8"/>
      <c r="T2" s="8"/>
      <c r="U2" s="8"/>
      <c r="V2" s="26"/>
      <c r="W2" s="27"/>
    </row>
    <row r="3" spans="1:23" s="2" customFormat="1" ht="15.75" x14ac:dyDescent="0.25">
      <c r="A3" s="13" t="s">
        <v>62</v>
      </c>
      <c r="B3" s="26"/>
      <c r="C3" s="8"/>
      <c r="D3" s="26"/>
      <c r="E3" s="8"/>
      <c r="F3" s="26"/>
      <c r="G3" s="8"/>
      <c r="H3" s="8"/>
      <c r="I3" s="8"/>
      <c r="J3" s="26"/>
      <c r="K3" s="8"/>
      <c r="L3" s="8"/>
      <c r="M3" s="8"/>
      <c r="N3" s="26"/>
      <c r="O3" s="8"/>
      <c r="P3" s="8"/>
      <c r="Q3" s="8"/>
      <c r="R3" s="26"/>
      <c r="S3" s="8"/>
      <c r="T3" s="8"/>
      <c r="U3" s="8"/>
      <c r="V3" s="26"/>
      <c r="W3" s="27"/>
    </row>
    <row r="4" spans="1:23" s="2" customFormat="1" ht="15.75" x14ac:dyDescent="0.25">
      <c r="A4" s="13"/>
      <c r="B4" s="13"/>
      <c r="C4" s="8"/>
      <c r="D4" s="13"/>
      <c r="E4" s="8"/>
      <c r="F4" s="13"/>
      <c r="G4" s="8"/>
      <c r="H4" s="8"/>
      <c r="I4" s="8"/>
      <c r="J4" s="13"/>
      <c r="K4" s="8"/>
      <c r="L4" s="8"/>
      <c r="M4" s="8"/>
      <c r="N4" s="13"/>
      <c r="O4" s="8"/>
      <c r="P4" s="8"/>
      <c r="Q4" s="8"/>
      <c r="R4" s="13"/>
      <c r="S4" s="8"/>
      <c r="T4" s="8"/>
      <c r="U4" s="8"/>
      <c r="V4" s="13"/>
      <c r="W4" s="27"/>
    </row>
    <row r="5" spans="1:23" s="2" customFormat="1" ht="15.75" hidden="1" x14ac:dyDescent="0.25">
      <c r="A5" s="25" t="s">
        <v>23</v>
      </c>
      <c r="B5" s="40"/>
      <c r="C5" s="40">
        <v>1907636</v>
      </c>
      <c r="D5" s="26"/>
      <c r="E5" s="40"/>
      <c r="F5" s="26"/>
      <c r="G5" s="40">
        <f>C65</f>
        <v>1881342.5799999998</v>
      </c>
      <c r="H5" s="40">
        <f>G65</f>
        <v>1881987.2499999998</v>
      </c>
      <c r="I5" s="40"/>
      <c r="J5" s="26"/>
      <c r="K5" s="40">
        <f>I65</f>
        <v>-751.94999999999709</v>
      </c>
      <c r="L5" s="40">
        <f>K65</f>
        <v>-1220.6399999999921</v>
      </c>
      <c r="M5" s="40">
        <f t="shared" ref="M5:U5" si="0">L65</f>
        <v>982.86000000000786</v>
      </c>
      <c r="N5" s="26"/>
      <c r="O5" s="40">
        <f>M65</f>
        <v>131428.53000000003</v>
      </c>
      <c r="P5" s="40">
        <f t="shared" si="0"/>
        <v>131428.53000000003</v>
      </c>
      <c r="Q5" s="40">
        <f t="shared" si="0"/>
        <v>131428.53000000003</v>
      </c>
      <c r="R5" s="26"/>
      <c r="S5" s="7">
        <f>Q65</f>
        <v>131428.53000000003</v>
      </c>
      <c r="T5" s="7">
        <f t="shared" si="0"/>
        <v>131428.53000000003</v>
      </c>
      <c r="U5" s="7">
        <f t="shared" si="0"/>
        <v>131428.53000000003</v>
      </c>
      <c r="V5" s="26"/>
      <c r="W5" s="40">
        <f>G5</f>
        <v>1881342.5799999998</v>
      </c>
    </row>
    <row r="6" spans="1:23" x14ac:dyDescent="0.25">
      <c r="A6" s="12"/>
      <c r="B6" s="12"/>
      <c r="D6" s="12"/>
      <c r="F6" s="12"/>
      <c r="H6" s="3" t="s">
        <v>61</v>
      </c>
      <c r="J6" s="12"/>
      <c r="K6" s="66"/>
      <c r="L6" s="66" t="s">
        <v>60</v>
      </c>
      <c r="N6" s="12"/>
      <c r="P6" s="66" t="s">
        <v>59</v>
      </c>
      <c r="R6" s="12"/>
      <c r="S6" s="66" t="s">
        <v>58</v>
      </c>
      <c r="V6" s="12"/>
    </row>
    <row r="7" spans="1:23" s="2" customFormat="1" ht="12.75" x14ac:dyDescent="0.2">
      <c r="A7" s="15"/>
      <c r="B7" s="11" t="s">
        <v>50</v>
      </c>
      <c r="C7" s="11" t="s">
        <v>63</v>
      </c>
      <c r="D7" s="12"/>
      <c r="E7" s="11" t="s">
        <v>24</v>
      </c>
      <c r="F7" s="12"/>
      <c r="G7" s="11" t="s">
        <v>22</v>
      </c>
      <c r="H7" s="11" t="s">
        <v>21</v>
      </c>
      <c r="I7" s="11" t="s">
        <v>20</v>
      </c>
      <c r="J7" s="12"/>
      <c r="K7" s="11" t="s">
        <v>19</v>
      </c>
      <c r="L7" s="11" t="s">
        <v>18</v>
      </c>
      <c r="M7" s="11" t="s">
        <v>17</v>
      </c>
      <c r="N7" s="12"/>
      <c r="O7" s="11" t="s">
        <v>16</v>
      </c>
      <c r="P7" s="11" t="s">
        <v>15</v>
      </c>
      <c r="Q7" s="11" t="s">
        <v>14</v>
      </c>
      <c r="R7" s="12"/>
      <c r="S7" s="11" t="s">
        <v>13</v>
      </c>
      <c r="T7" s="11" t="s">
        <v>12</v>
      </c>
      <c r="U7" s="11" t="s">
        <v>11</v>
      </c>
      <c r="V7" s="12"/>
      <c r="W7" s="30" t="s">
        <v>8</v>
      </c>
    </row>
    <row r="8" spans="1:23" s="2" customFormat="1" ht="12.75" x14ac:dyDescent="0.2">
      <c r="A8" s="22" t="s">
        <v>10</v>
      </c>
      <c r="B8" s="11" t="s">
        <v>49</v>
      </c>
      <c r="C8" s="43" t="s">
        <v>49</v>
      </c>
      <c r="D8" s="51"/>
      <c r="E8" s="11" t="s">
        <v>9</v>
      </c>
      <c r="F8" s="51"/>
      <c r="G8" s="43">
        <v>41529</v>
      </c>
      <c r="H8" s="43">
        <v>41559</v>
      </c>
      <c r="I8" s="43">
        <v>41590</v>
      </c>
      <c r="J8" s="51"/>
      <c r="K8" s="43">
        <v>41621</v>
      </c>
      <c r="L8" s="43">
        <v>41653</v>
      </c>
      <c r="M8" s="43">
        <v>41684</v>
      </c>
      <c r="N8" s="51"/>
      <c r="O8" s="43">
        <v>41712</v>
      </c>
      <c r="P8" s="43">
        <v>41730</v>
      </c>
      <c r="Q8" s="43">
        <v>41760</v>
      </c>
      <c r="R8" s="51"/>
      <c r="S8" s="67">
        <v>41791</v>
      </c>
      <c r="T8" s="67">
        <v>41821</v>
      </c>
      <c r="U8" s="67">
        <v>41852</v>
      </c>
      <c r="V8" s="51"/>
      <c r="W8" s="30" t="s">
        <v>57</v>
      </c>
    </row>
    <row r="9" spans="1:23" s="10" customFormat="1" ht="12.75" x14ac:dyDescent="0.2">
      <c r="A9" s="20" t="s">
        <v>35</v>
      </c>
      <c r="B9" s="20"/>
      <c r="C9" s="50"/>
      <c r="D9" s="49"/>
      <c r="E9" s="50"/>
      <c r="F9" s="49"/>
      <c r="G9" s="50"/>
      <c r="H9" s="50"/>
      <c r="I9" s="50"/>
      <c r="J9" s="49"/>
      <c r="K9" s="50"/>
      <c r="L9" s="50"/>
      <c r="M9" s="50"/>
      <c r="N9" s="49"/>
      <c r="O9" s="50"/>
      <c r="P9" s="50"/>
      <c r="Q9" s="50"/>
      <c r="R9" s="49"/>
      <c r="S9" s="50"/>
      <c r="T9" s="50"/>
      <c r="U9" s="50"/>
      <c r="V9" s="49"/>
      <c r="W9" s="50"/>
    </row>
    <row r="10" spans="1:23" s="10" customFormat="1" ht="12.75" x14ac:dyDescent="0.2">
      <c r="A10" s="38" t="s">
        <v>31</v>
      </c>
      <c r="B10" s="32">
        <v>3560</v>
      </c>
      <c r="C10" s="50">
        <v>17850</v>
      </c>
      <c r="D10" s="51"/>
      <c r="E10" s="50"/>
      <c r="F10" s="51"/>
      <c r="G10" s="50"/>
      <c r="H10" s="50"/>
      <c r="I10" s="50"/>
      <c r="J10" s="51"/>
      <c r="K10" s="50">
        <v>5500</v>
      </c>
      <c r="L10" s="50">
        <f>4000</f>
        <v>4000</v>
      </c>
      <c r="M10" s="50">
        <v>25000</v>
      </c>
      <c r="N10" s="51"/>
      <c r="O10" s="50"/>
      <c r="P10" s="50"/>
      <c r="Q10" s="50"/>
      <c r="R10" s="51"/>
      <c r="S10" s="50"/>
      <c r="T10" s="50"/>
      <c r="U10" s="50"/>
      <c r="V10" s="51"/>
      <c r="W10" s="45">
        <f>SUM(G10:V10)</f>
        <v>34500</v>
      </c>
    </row>
    <row r="11" spans="1:23" s="10" customFormat="1" ht="12.75" x14ac:dyDescent="0.2">
      <c r="A11" s="38" t="s">
        <v>32</v>
      </c>
      <c r="B11" s="32">
        <v>125413.22</v>
      </c>
      <c r="C11" s="50">
        <v>28638.81</v>
      </c>
      <c r="D11" s="51"/>
      <c r="E11" s="50"/>
      <c r="F11" s="51"/>
      <c r="G11" s="50">
        <v>50</v>
      </c>
      <c r="H11" s="50">
        <v>35</v>
      </c>
      <c r="I11" s="50">
        <v>1000</v>
      </c>
      <c r="J11" s="51"/>
      <c r="K11" s="50">
        <v>1475</v>
      </c>
      <c r="L11" s="50">
        <v>1263</v>
      </c>
      <c r="M11" s="50">
        <v>107303.32</v>
      </c>
      <c r="N11" s="51"/>
      <c r="O11" s="50"/>
      <c r="P11" s="50"/>
      <c r="Q11" s="50"/>
      <c r="R11" s="51"/>
      <c r="S11" s="50"/>
      <c r="T11" s="50"/>
      <c r="U11" s="50"/>
      <c r="V11" s="51"/>
      <c r="W11" s="45">
        <f t="shared" ref="W11:W29" si="1">SUM(G11:V11)</f>
        <v>111126.32</v>
      </c>
    </row>
    <row r="12" spans="1:23" s="10" customFormat="1" ht="12.75" x14ac:dyDescent="0.2">
      <c r="A12" s="38" t="s">
        <v>33</v>
      </c>
      <c r="B12" s="32">
        <v>6862.04</v>
      </c>
      <c r="C12" s="50"/>
      <c r="D12" s="51"/>
      <c r="E12" s="50"/>
      <c r="F12" s="51"/>
      <c r="G12" s="50">
        <v>50</v>
      </c>
      <c r="H12" s="50"/>
      <c r="I12" s="50"/>
      <c r="J12" s="51"/>
      <c r="K12" s="50"/>
      <c r="L12" s="50"/>
      <c r="M12" s="50"/>
      <c r="N12" s="51"/>
      <c r="O12" s="50"/>
      <c r="P12" s="50"/>
      <c r="Q12" s="50"/>
      <c r="R12" s="51"/>
      <c r="S12" s="50"/>
      <c r="T12" s="50"/>
      <c r="U12" s="50"/>
      <c r="V12" s="51"/>
      <c r="W12" s="45">
        <f t="shared" si="1"/>
        <v>50</v>
      </c>
    </row>
    <row r="13" spans="1:23" s="10" customFormat="1" ht="12.75" x14ac:dyDescent="0.2">
      <c r="A13" s="38" t="s">
        <v>34</v>
      </c>
      <c r="B13" s="32">
        <f>15475+3560</f>
        <v>19035</v>
      </c>
      <c r="C13" s="50">
        <v>10000</v>
      </c>
      <c r="D13" s="51"/>
      <c r="E13" s="50"/>
      <c r="F13" s="51"/>
      <c r="G13" s="50"/>
      <c r="H13" s="50"/>
      <c r="I13" s="50">
        <v>1250</v>
      </c>
      <c r="J13" s="51"/>
      <c r="K13" s="50">
        <f>1100+1000</f>
        <v>2100</v>
      </c>
      <c r="L13" s="50">
        <v>10000</v>
      </c>
      <c r="M13" s="50"/>
      <c r="N13" s="51"/>
      <c r="O13" s="50"/>
      <c r="P13" s="50"/>
      <c r="Q13" s="50"/>
      <c r="R13" s="51"/>
      <c r="S13" s="50"/>
      <c r="T13" s="50"/>
      <c r="U13" s="50"/>
      <c r="V13" s="51"/>
      <c r="W13" s="45">
        <f t="shared" si="1"/>
        <v>13350</v>
      </c>
    </row>
    <row r="14" spans="1:23" s="10" customFormat="1" ht="12.75" x14ac:dyDescent="0.2">
      <c r="A14" s="14"/>
      <c r="B14" s="32"/>
      <c r="C14" s="50"/>
      <c r="D14" s="51"/>
      <c r="E14" s="50"/>
      <c r="F14" s="51"/>
      <c r="G14" s="50"/>
      <c r="H14" s="50"/>
      <c r="I14" s="50">
        <v>0</v>
      </c>
      <c r="J14" s="51"/>
      <c r="K14" s="50"/>
      <c r="L14" s="50"/>
      <c r="M14" s="50"/>
      <c r="N14" s="51"/>
      <c r="O14" s="50"/>
      <c r="P14" s="50"/>
      <c r="Q14" s="50"/>
      <c r="R14" s="51"/>
      <c r="S14" s="50"/>
      <c r="T14" s="50"/>
      <c r="U14" s="50"/>
      <c r="V14" s="51"/>
      <c r="W14" s="45">
        <f t="shared" si="1"/>
        <v>0</v>
      </c>
    </row>
    <row r="15" spans="1:23" s="10" customFormat="1" ht="12.75" x14ac:dyDescent="0.2">
      <c r="A15" s="20" t="s">
        <v>7</v>
      </c>
      <c r="B15" s="32"/>
      <c r="C15" s="50"/>
      <c r="D15" s="51"/>
      <c r="E15" s="50"/>
      <c r="F15" s="51"/>
      <c r="G15" s="50"/>
      <c r="H15" s="50"/>
      <c r="I15" s="50">
        <v>0</v>
      </c>
      <c r="J15" s="51"/>
      <c r="K15" s="50"/>
      <c r="L15" s="50"/>
      <c r="M15" s="50"/>
      <c r="N15" s="51"/>
      <c r="O15" s="50"/>
      <c r="P15" s="50"/>
      <c r="Q15" s="50"/>
      <c r="R15" s="51"/>
      <c r="S15" s="50"/>
      <c r="T15" s="50"/>
      <c r="U15" s="50"/>
      <c r="V15" s="51"/>
      <c r="W15" s="45">
        <f t="shared" si="1"/>
        <v>0</v>
      </c>
    </row>
    <row r="16" spans="1:23" s="10" customFormat="1" ht="12.75" x14ac:dyDescent="0.2">
      <c r="A16" s="38" t="s">
        <v>28</v>
      </c>
      <c r="B16" s="32">
        <v>58141.09</v>
      </c>
      <c r="C16" s="50">
        <v>22254</v>
      </c>
      <c r="D16" s="51"/>
      <c r="E16" s="50"/>
      <c r="F16" s="51"/>
      <c r="G16" s="50"/>
      <c r="H16" s="50"/>
      <c r="I16" s="50">
        <v>25</v>
      </c>
      <c r="J16" s="51"/>
      <c r="K16" s="50">
        <f>275</f>
        <v>275</v>
      </c>
      <c r="L16" s="50">
        <f>2060</f>
        <v>2060</v>
      </c>
      <c r="M16" s="50">
        <f>500+160+3520</f>
        <v>4180</v>
      </c>
      <c r="N16" s="51"/>
      <c r="O16" s="50"/>
      <c r="P16" s="50"/>
      <c r="Q16" s="50"/>
      <c r="R16" s="51"/>
      <c r="S16" s="50"/>
      <c r="T16" s="50"/>
      <c r="U16" s="50"/>
      <c r="V16" s="51"/>
      <c r="W16" s="45">
        <f t="shared" si="1"/>
        <v>6540</v>
      </c>
    </row>
    <row r="17" spans="1:72" s="10" customFormat="1" ht="12.75" x14ac:dyDescent="0.2">
      <c r="A17" s="38" t="s">
        <v>29</v>
      </c>
      <c r="B17" s="32"/>
      <c r="C17" s="45">
        <v>0</v>
      </c>
      <c r="D17" s="51"/>
      <c r="E17" s="50"/>
      <c r="F17" s="51"/>
      <c r="G17" s="45"/>
      <c r="H17" s="50"/>
      <c r="I17" s="50">
        <v>0</v>
      </c>
      <c r="J17" s="51"/>
      <c r="K17" s="45"/>
      <c r="L17" s="45"/>
      <c r="M17" s="45"/>
      <c r="N17" s="51"/>
      <c r="O17" s="45"/>
      <c r="P17" s="45"/>
      <c r="Q17" s="45"/>
      <c r="R17" s="51"/>
      <c r="S17" s="50"/>
      <c r="T17" s="50"/>
      <c r="U17" s="50"/>
      <c r="V17" s="51"/>
      <c r="W17" s="45">
        <f t="shared" si="1"/>
        <v>0</v>
      </c>
    </row>
    <row r="18" spans="1:72" s="10" customFormat="1" ht="12.75" x14ac:dyDescent="0.2">
      <c r="A18" s="38" t="s">
        <v>30</v>
      </c>
      <c r="B18" s="32"/>
      <c r="C18" s="45">
        <v>30277.05</v>
      </c>
      <c r="D18" s="51"/>
      <c r="E18" s="50"/>
      <c r="F18" s="51"/>
      <c r="G18" s="45"/>
      <c r="H18" s="50"/>
      <c r="I18" s="50">
        <v>50</v>
      </c>
      <c r="J18" s="51"/>
      <c r="K18" s="45">
        <v>50</v>
      </c>
      <c r="L18" s="45">
        <f>600</f>
        <v>600</v>
      </c>
      <c r="M18" s="45">
        <v>1400</v>
      </c>
      <c r="N18" s="51"/>
      <c r="O18" s="45"/>
      <c r="P18" s="45"/>
      <c r="Q18" s="45"/>
      <c r="R18" s="51"/>
      <c r="S18" s="50"/>
      <c r="T18" s="50"/>
      <c r="U18" s="50"/>
      <c r="V18" s="51"/>
      <c r="W18" s="45">
        <f t="shared" si="1"/>
        <v>2100</v>
      </c>
    </row>
    <row r="19" spans="1:72" s="10" customFormat="1" ht="12.75" x14ac:dyDescent="0.2">
      <c r="A19" s="38" t="s">
        <v>43</v>
      </c>
      <c r="B19" s="32"/>
      <c r="C19" s="45">
        <v>18872.53</v>
      </c>
      <c r="D19" s="51"/>
      <c r="E19" s="50"/>
      <c r="F19" s="51"/>
      <c r="G19" s="45"/>
      <c r="H19" s="50">
        <f>1475+250</f>
        <v>1725</v>
      </c>
      <c r="I19" s="50">
        <v>11715.46</v>
      </c>
      <c r="J19" s="51"/>
      <c r="K19" s="45">
        <v>17810.14</v>
      </c>
      <c r="L19" s="45">
        <f>365.7+332.86</f>
        <v>698.56</v>
      </c>
      <c r="M19" s="45"/>
      <c r="N19" s="51"/>
      <c r="O19" s="45"/>
      <c r="P19" s="45"/>
      <c r="Q19" s="45"/>
      <c r="R19" s="51"/>
      <c r="S19" s="50"/>
      <c r="T19" s="50"/>
      <c r="U19" s="50"/>
      <c r="V19" s="51"/>
      <c r="W19" s="45">
        <f t="shared" si="1"/>
        <v>31949.16</v>
      </c>
    </row>
    <row r="20" spans="1:72" s="10" customFormat="1" ht="12.75" x14ac:dyDescent="0.2">
      <c r="A20" s="38" t="s">
        <v>56</v>
      </c>
      <c r="B20" s="32"/>
      <c r="C20" s="45">
        <v>2885</v>
      </c>
      <c r="D20" s="51"/>
      <c r="E20" s="50"/>
      <c r="F20" s="51"/>
      <c r="G20" s="45">
        <f>8200+370+450+46</f>
        <v>9066</v>
      </c>
      <c r="H20" s="50">
        <f>12015+500+530+7500</f>
        <v>20545</v>
      </c>
      <c r="I20" s="50">
        <v>170</v>
      </c>
      <c r="J20" s="51"/>
      <c r="K20" s="45"/>
      <c r="L20" s="45"/>
      <c r="M20" s="45"/>
      <c r="N20" s="51"/>
      <c r="O20" s="45"/>
      <c r="P20" s="45"/>
      <c r="Q20" s="45"/>
      <c r="R20" s="51"/>
      <c r="S20" s="50"/>
      <c r="T20" s="50"/>
      <c r="U20" s="50"/>
      <c r="V20" s="51"/>
      <c r="W20" s="45">
        <f t="shared" si="1"/>
        <v>29781</v>
      </c>
    </row>
    <row r="21" spans="1:72" s="10" customFormat="1" ht="12.75" x14ac:dyDescent="0.2">
      <c r="A21" s="14"/>
      <c r="B21" s="32"/>
      <c r="C21" s="45">
        <v>0</v>
      </c>
      <c r="D21" s="51"/>
      <c r="E21" s="50"/>
      <c r="F21" s="51"/>
      <c r="G21" s="45"/>
      <c r="H21" s="50"/>
      <c r="I21" s="50">
        <v>0</v>
      </c>
      <c r="J21" s="51"/>
      <c r="K21" s="45"/>
      <c r="L21" s="45"/>
      <c r="M21" s="45"/>
      <c r="N21" s="51"/>
      <c r="O21" s="45"/>
      <c r="P21" s="45"/>
      <c r="Q21" s="45"/>
      <c r="R21" s="51"/>
      <c r="S21" s="50"/>
      <c r="T21" s="50"/>
      <c r="U21" s="50"/>
      <c r="V21" s="51"/>
      <c r="W21" s="45">
        <f t="shared" si="1"/>
        <v>0</v>
      </c>
    </row>
    <row r="22" spans="1:72" s="10" customFormat="1" ht="12.75" x14ac:dyDescent="0.2">
      <c r="A22" s="20" t="s">
        <v>45</v>
      </c>
      <c r="B22" s="32">
        <v>11767</v>
      </c>
      <c r="C22" s="45">
        <f>18335.3+250</f>
        <v>18585.3</v>
      </c>
      <c r="D22" s="51"/>
      <c r="E22" s="50"/>
      <c r="F22" s="51"/>
      <c r="G22" s="45">
        <f>750+82+150</f>
        <v>982</v>
      </c>
      <c r="H22" s="50">
        <v>1025</v>
      </c>
      <c r="I22" s="50">
        <v>1150</v>
      </c>
      <c r="J22" s="51"/>
      <c r="K22" s="45">
        <f>625+250</f>
        <v>875</v>
      </c>
      <c r="L22" s="45">
        <v>2436.5</v>
      </c>
      <c r="M22" s="45">
        <f>3909.5</f>
        <v>3909.5</v>
      </c>
      <c r="N22" s="51"/>
      <c r="O22" s="45"/>
      <c r="P22" s="45"/>
      <c r="Q22" s="45"/>
      <c r="R22" s="51"/>
      <c r="S22" s="50"/>
      <c r="T22" s="50"/>
      <c r="U22" s="50"/>
      <c r="V22" s="51"/>
      <c r="W22" s="45">
        <f t="shared" si="1"/>
        <v>10378</v>
      </c>
    </row>
    <row r="23" spans="1:72" s="10" customFormat="1" ht="12.75" x14ac:dyDescent="0.2">
      <c r="A23" s="18" t="s">
        <v>66</v>
      </c>
      <c r="B23" s="32">
        <v>14552.74</v>
      </c>
      <c r="C23" s="45">
        <f>15736+21285.25</f>
        <v>37021.25</v>
      </c>
      <c r="D23" s="51"/>
      <c r="E23" s="50"/>
      <c r="F23" s="51"/>
      <c r="G23" s="45">
        <f>1167+50</f>
        <v>1217</v>
      </c>
      <c r="H23" s="50">
        <v>1502</v>
      </c>
      <c r="I23" s="50">
        <f>450+45</f>
        <v>495</v>
      </c>
      <c r="J23" s="51"/>
      <c r="K23" s="45">
        <v>1406</v>
      </c>
      <c r="L23" s="45">
        <v>1625</v>
      </c>
      <c r="M23" s="45">
        <v>1516</v>
      </c>
      <c r="N23" s="51"/>
      <c r="O23" s="45"/>
      <c r="P23" s="45"/>
      <c r="Q23" s="45"/>
      <c r="R23" s="51"/>
      <c r="S23" s="50"/>
      <c r="T23" s="50"/>
      <c r="U23" s="50"/>
      <c r="V23" s="51"/>
      <c r="W23" s="45">
        <f t="shared" si="1"/>
        <v>7761</v>
      </c>
    </row>
    <row r="24" spans="1:72" s="10" customFormat="1" ht="12.75" x14ac:dyDescent="0.2">
      <c r="A24" s="20" t="s">
        <v>67</v>
      </c>
      <c r="B24" s="32">
        <v>18957.009999999998</v>
      </c>
      <c r="C24" s="45">
        <v>23085.5</v>
      </c>
      <c r="D24" s="51"/>
      <c r="E24" s="50"/>
      <c r="F24" s="51"/>
      <c r="G24" s="45">
        <f>3025</f>
        <v>3025</v>
      </c>
      <c r="H24" s="50">
        <f>3375</f>
        <v>3375</v>
      </c>
      <c r="I24" s="50">
        <v>675</v>
      </c>
      <c r="J24" s="51"/>
      <c r="K24" s="45">
        <f>1500</f>
        <v>1500</v>
      </c>
      <c r="L24" s="45">
        <v>1775</v>
      </c>
      <c r="M24" s="45">
        <f>925</f>
        <v>925</v>
      </c>
      <c r="N24" s="51"/>
      <c r="O24" s="45"/>
      <c r="P24" s="45"/>
      <c r="Q24" s="45"/>
      <c r="R24" s="51"/>
      <c r="S24" s="50"/>
      <c r="T24" s="50"/>
      <c r="U24" s="50"/>
      <c r="V24" s="51"/>
      <c r="W24" s="45">
        <f t="shared" si="1"/>
        <v>11275</v>
      </c>
    </row>
    <row r="25" spans="1:72" s="10" customFormat="1" ht="12.75" x14ac:dyDescent="0.2">
      <c r="A25" s="20" t="s">
        <v>51</v>
      </c>
      <c r="B25" s="32">
        <v>25606.46</v>
      </c>
      <c r="C25" s="45">
        <v>4196.05</v>
      </c>
      <c r="D25" s="51"/>
      <c r="E25" s="50"/>
      <c r="F25" s="51"/>
      <c r="G25" s="45">
        <v>895</v>
      </c>
      <c r="H25" s="50">
        <v>355.5</v>
      </c>
      <c r="I25" s="50">
        <v>379.04999999999995</v>
      </c>
      <c r="J25" s="51"/>
      <c r="K25" s="45"/>
      <c r="L25" s="45">
        <f>570.6</f>
        <v>570.6</v>
      </c>
      <c r="M25" s="45">
        <v>130.4</v>
      </c>
      <c r="N25" s="51"/>
      <c r="O25" s="45"/>
      <c r="P25" s="45"/>
      <c r="Q25" s="45"/>
      <c r="R25" s="51"/>
      <c r="S25" s="50"/>
      <c r="T25" s="50"/>
      <c r="U25" s="50"/>
      <c r="V25" s="51"/>
      <c r="W25" s="45">
        <f t="shared" si="1"/>
        <v>2330.5500000000002</v>
      </c>
    </row>
    <row r="26" spans="1:72" s="10" customFormat="1" ht="12.75" x14ac:dyDescent="0.2">
      <c r="A26" s="20" t="s">
        <v>68</v>
      </c>
      <c r="B26" s="32"/>
      <c r="C26" s="45">
        <f>2547.5+360</f>
        <v>2907.5</v>
      </c>
      <c r="D26" s="51"/>
      <c r="E26" s="50"/>
      <c r="F26" s="51"/>
      <c r="G26" s="45">
        <v>625</v>
      </c>
      <c r="H26" s="51">
        <f>530+35</f>
        <v>565</v>
      </c>
      <c r="I26" s="50">
        <v>125</v>
      </c>
      <c r="J26" s="51"/>
      <c r="K26" s="45"/>
      <c r="L26" s="45">
        <v>25</v>
      </c>
      <c r="M26" s="45">
        <v>45</v>
      </c>
      <c r="N26" s="51"/>
      <c r="O26" s="45"/>
      <c r="P26" s="45"/>
      <c r="Q26" s="45"/>
      <c r="R26" s="51"/>
      <c r="S26" s="50"/>
      <c r="T26" s="50"/>
      <c r="U26" s="50"/>
      <c r="V26" s="51"/>
      <c r="W26" s="45">
        <f t="shared" si="1"/>
        <v>1385</v>
      </c>
    </row>
    <row r="27" spans="1:72" s="10" customFormat="1" ht="12.75" x14ac:dyDescent="0.2">
      <c r="A27" s="20" t="s">
        <v>44</v>
      </c>
      <c r="B27" s="32">
        <v>60996</v>
      </c>
      <c r="C27" s="45">
        <v>55913</v>
      </c>
      <c r="D27" s="51"/>
      <c r="E27" s="50"/>
      <c r="F27" s="51"/>
      <c r="G27" s="45">
        <v>5083</v>
      </c>
      <c r="H27" s="50">
        <v>5083</v>
      </c>
      <c r="I27" s="50">
        <v>5083</v>
      </c>
      <c r="J27" s="51"/>
      <c r="K27" s="45">
        <v>5083</v>
      </c>
      <c r="L27" s="45">
        <v>5083</v>
      </c>
      <c r="M27" s="45">
        <v>5083</v>
      </c>
      <c r="N27" s="51"/>
      <c r="O27" s="45"/>
      <c r="P27" s="45"/>
      <c r="Q27" s="45"/>
      <c r="R27" s="51"/>
      <c r="S27" s="50"/>
      <c r="T27" s="50"/>
      <c r="U27" s="50"/>
      <c r="V27" s="51"/>
      <c r="W27" s="45">
        <f t="shared" si="1"/>
        <v>30498</v>
      </c>
    </row>
    <row r="28" spans="1:72" s="10" customFormat="1" ht="12.75" x14ac:dyDescent="0.2">
      <c r="A28" s="20" t="s">
        <v>48</v>
      </c>
      <c r="B28" s="32"/>
      <c r="C28" s="45"/>
      <c r="D28" s="51"/>
      <c r="E28" s="50"/>
      <c r="F28" s="51"/>
      <c r="G28" s="45"/>
      <c r="H28" s="50"/>
      <c r="I28" s="50">
        <v>0</v>
      </c>
      <c r="J28" s="51"/>
      <c r="K28" s="45"/>
      <c r="L28" s="45"/>
      <c r="M28" s="45"/>
      <c r="N28" s="51"/>
      <c r="O28" s="45"/>
      <c r="P28" s="45"/>
      <c r="Q28" s="45"/>
      <c r="R28" s="51"/>
      <c r="S28" s="50"/>
      <c r="T28" s="50"/>
      <c r="U28" s="50"/>
      <c r="V28" s="51"/>
      <c r="W28" s="45">
        <f t="shared" si="1"/>
        <v>0</v>
      </c>
    </row>
    <row r="29" spans="1:72" s="2" customFormat="1" ht="12.75" x14ac:dyDescent="0.2">
      <c r="A29" s="20" t="s">
        <v>25</v>
      </c>
      <c r="B29" s="33">
        <f>256.25+200+100+2300.42+533+105</f>
        <v>3494.67</v>
      </c>
      <c r="C29" s="52">
        <f>80+200-37.71+500+296.36+582.55+720-50</f>
        <v>2291.1999999999998</v>
      </c>
      <c r="D29" s="52"/>
      <c r="E29" s="53"/>
      <c r="F29" s="52"/>
      <c r="G29" s="52">
        <f>55.83+92.67</f>
        <v>148.5</v>
      </c>
      <c r="H29" s="50">
        <f>2470.51+47.58-35</f>
        <v>2483.09</v>
      </c>
      <c r="I29" s="50">
        <f>281.55</f>
        <v>281.55</v>
      </c>
      <c r="J29" s="52"/>
      <c r="K29" s="52">
        <v>200</v>
      </c>
      <c r="L29" s="52">
        <f>92.93+50</f>
        <v>142.93</v>
      </c>
      <c r="M29" s="52">
        <f>100+250+120.39+45+80-45-45</f>
        <v>505.39</v>
      </c>
      <c r="N29" s="52"/>
      <c r="O29" s="52"/>
      <c r="P29" s="52"/>
      <c r="Q29" s="52"/>
      <c r="R29" s="52"/>
      <c r="S29" s="53"/>
      <c r="T29" s="53"/>
      <c r="U29" s="53"/>
      <c r="V29" s="52"/>
      <c r="W29" s="45">
        <f t="shared" si="1"/>
        <v>3761.46</v>
      </c>
    </row>
    <row r="30" spans="1:72" s="12" customFormat="1" ht="12.75" x14ac:dyDescent="0.2">
      <c r="A30" s="23" t="s">
        <v>6</v>
      </c>
      <c r="B30" s="42">
        <f>SUM(B9:B29)</f>
        <v>348385.23</v>
      </c>
      <c r="C30" s="54">
        <f>SUM(C9:C29)</f>
        <v>274777.19</v>
      </c>
      <c r="D30" s="51"/>
      <c r="E30" s="54"/>
      <c r="F30" s="51"/>
      <c r="G30" s="54">
        <f>SUM(G10:G29)</f>
        <v>21141.5</v>
      </c>
      <c r="H30" s="54">
        <f>SUM(H10:H29)</f>
        <v>36693.589999999997</v>
      </c>
      <c r="I30" s="54">
        <f>SUM(I10:I29)</f>
        <v>22399.059999999998</v>
      </c>
      <c r="J30" s="51"/>
      <c r="K30" s="54">
        <f t="shared" ref="K30:U30" si="2">SUM(K9:K29)</f>
        <v>36274.14</v>
      </c>
      <c r="L30" s="54">
        <f t="shared" si="2"/>
        <v>30279.59</v>
      </c>
      <c r="M30" s="54">
        <f t="shared" si="2"/>
        <v>149997.61000000002</v>
      </c>
      <c r="N30" s="51"/>
      <c r="O30" s="54">
        <f t="shared" si="2"/>
        <v>0</v>
      </c>
      <c r="P30" s="54">
        <f t="shared" si="2"/>
        <v>0</v>
      </c>
      <c r="Q30" s="54">
        <f t="shared" si="2"/>
        <v>0</v>
      </c>
      <c r="R30" s="51"/>
      <c r="S30" s="54">
        <f t="shared" si="2"/>
        <v>0</v>
      </c>
      <c r="T30" s="54">
        <f t="shared" si="2"/>
        <v>0</v>
      </c>
      <c r="U30" s="54">
        <f t="shared" si="2"/>
        <v>0</v>
      </c>
      <c r="V30" s="51"/>
      <c r="W30" s="54">
        <f>SUM(G30:V30)</f>
        <v>296785.49</v>
      </c>
    </row>
    <row r="31" spans="1:72" s="2" customFormat="1" ht="12.75" x14ac:dyDescent="0.2">
      <c r="A31" s="15"/>
      <c r="B31" s="33">
        <v>-352575.87</v>
      </c>
      <c r="C31" s="55"/>
      <c r="D31" s="52"/>
      <c r="E31" s="53"/>
      <c r="F31" s="52"/>
      <c r="G31" s="55"/>
      <c r="H31" s="55"/>
      <c r="I31" s="55"/>
      <c r="J31" s="52"/>
      <c r="K31" s="55"/>
      <c r="L31" s="55"/>
      <c r="M31" s="55"/>
      <c r="N31" s="52"/>
      <c r="O31" s="55"/>
      <c r="P31" s="55"/>
      <c r="Q31" s="55"/>
      <c r="R31" s="52"/>
      <c r="S31" s="53"/>
      <c r="T31" s="53"/>
      <c r="U31" s="53"/>
      <c r="V31" s="52"/>
      <c r="W31" s="45"/>
    </row>
    <row r="32" spans="1:72" ht="12.75" x14ac:dyDescent="0.2">
      <c r="A32" s="22" t="s">
        <v>4</v>
      </c>
      <c r="B32" s="34"/>
      <c r="C32" s="57"/>
      <c r="D32" s="56"/>
      <c r="E32" s="53"/>
      <c r="F32" s="56"/>
      <c r="G32" s="57"/>
      <c r="H32" s="57"/>
      <c r="I32" s="57"/>
      <c r="J32" s="56"/>
      <c r="K32" s="57"/>
      <c r="L32" s="57"/>
      <c r="M32" s="57"/>
      <c r="N32" s="56"/>
      <c r="O32" s="57"/>
      <c r="P32" s="57"/>
      <c r="Q32" s="57"/>
      <c r="R32" s="56"/>
      <c r="S32" s="58"/>
      <c r="T32" s="58"/>
      <c r="U32" s="58"/>
      <c r="V32" s="56"/>
      <c r="W32" s="45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</row>
    <row r="33" spans="1:72" x14ac:dyDescent="0.25">
      <c r="A33" s="24" t="s">
        <v>5</v>
      </c>
      <c r="B33" s="35"/>
      <c r="C33" s="61"/>
      <c r="D33" s="59"/>
      <c r="E33" s="60"/>
      <c r="F33" s="59"/>
      <c r="G33" s="61"/>
      <c r="H33" s="61"/>
      <c r="I33" s="61"/>
      <c r="J33" s="59"/>
      <c r="K33" s="61"/>
      <c r="L33" s="61"/>
      <c r="M33" s="61"/>
      <c r="N33" s="59"/>
      <c r="O33" s="61"/>
      <c r="P33" s="61"/>
      <c r="Q33" s="61"/>
      <c r="R33" s="59"/>
      <c r="S33" s="60"/>
      <c r="T33" s="60"/>
      <c r="U33" s="60"/>
      <c r="V33" s="59"/>
      <c r="W33" s="45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</row>
    <row r="34" spans="1:72" x14ac:dyDescent="0.25">
      <c r="A34" s="39" t="s">
        <v>53</v>
      </c>
      <c r="B34" s="35">
        <v>114316.33</v>
      </c>
      <c r="C34" s="59">
        <v>124776</v>
      </c>
      <c r="D34" s="59"/>
      <c r="E34" s="60"/>
      <c r="F34" s="59"/>
      <c r="G34" s="59">
        <v>9717.16</v>
      </c>
      <c r="H34" s="59">
        <f>9040.54+0.37</f>
        <v>9040.9100000000017</v>
      </c>
      <c r="I34" s="59">
        <v>9548</v>
      </c>
      <c r="J34" s="59"/>
      <c r="K34" s="59">
        <v>15051.01</v>
      </c>
      <c r="L34" s="59">
        <f>9107.43</f>
        <v>9107.43</v>
      </c>
      <c r="M34" s="59">
        <v>9168.43</v>
      </c>
      <c r="N34" s="59"/>
      <c r="O34" s="59"/>
      <c r="P34" s="59"/>
      <c r="Q34" s="59"/>
      <c r="R34" s="59"/>
      <c r="S34" s="60"/>
      <c r="T34" s="60"/>
      <c r="U34" s="60"/>
      <c r="V34" s="59"/>
      <c r="W34" s="45">
        <f>SUM(G34:V34)</f>
        <v>61632.94</v>
      </c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</row>
    <row r="35" spans="1:72" x14ac:dyDescent="0.25">
      <c r="A35" s="39" t="s">
        <v>52</v>
      </c>
      <c r="B35" s="35"/>
      <c r="C35" s="59">
        <f>34661.19</f>
        <v>34661.19</v>
      </c>
      <c r="D35" s="59"/>
      <c r="E35" s="60"/>
      <c r="F35" s="59"/>
      <c r="G35" s="59">
        <f>292.2</f>
        <v>292.2</v>
      </c>
      <c r="H35" s="59">
        <v>1335.3</v>
      </c>
      <c r="I35" s="59">
        <v>1820.65</v>
      </c>
      <c r="J35" s="59"/>
      <c r="K35" s="59">
        <v>2296.1799999999998</v>
      </c>
      <c r="L35" s="59">
        <v>307.54000000000002</v>
      </c>
      <c r="M35" s="59">
        <v>2162.92</v>
      </c>
      <c r="N35" s="59"/>
      <c r="O35" s="59"/>
      <c r="P35" s="59"/>
      <c r="Q35" s="59"/>
      <c r="R35" s="59"/>
      <c r="S35" s="60"/>
      <c r="T35" s="60"/>
      <c r="U35" s="60"/>
      <c r="V35" s="59"/>
      <c r="W35" s="45">
        <f t="shared" ref="W35:W53" si="3">SUM(G35:V35)</f>
        <v>8214.7900000000009</v>
      </c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</row>
    <row r="36" spans="1:72" s="6" customFormat="1" ht="12.75" x14ac:dyDescent="0.2">
      <c r="A36" s="38" t="s">
        <v>38</v>
      </c>
      <c r="B36" s="33">
        <f>13798.78+2900</f>
        <v>16698.78</v>
      </c>
      <c r="C36" s="52">
        <f>8644.9+190+460.49+3071.78</f>
        <v>12367.17</v>
      </c>
      <c r="D36" s="52"/>
      <c r="E36" s="53"/>
      <c r="F36" s="52"/>
      <c r="G36" s="52">
        <f>272.17+170</f>
        <v>442.17</v>
      </c>
      <c r="H36" s="52">
        <f>330.5+170</f>
        <v>500.5</v>
      </c>
      <c r="I36" s="52">
        <f>898.41+137.51</f>
        <v>1035.92</v>
      </c>
      <c r="J36" s="52"/>
      <c r="K36" s="52">
        <f>548.04+1110.95</f>
        <v>1658.99</v>
      </c>
      <c r="L36" s="52">
        <f>704.51+317.71+35.23</f>
        <v>1057.45</v>
      </c>
      <c r="M36" s="52">
        <f>1068.18+190+2.68</f>
        <v>1260.8600000000001</v>
      </c>
      <c r="N36" s="52"/>
      <c r="O36" s="52"/>
      <c r="P36" s="52"/>
      <c r="Q36" s="52"/>
      <c r="R36" s="52"/>
      <c r="S36" s="53"/>
      <c r="T36" s="53"/>
      <c r="U36" s="53"/>
      <c r="V36" s="52"/>
      <c r="W36" s="45">
        <f t="shared" si="3"/>
        <v>5955.8899999999994</v>
      </c>
    </row>
    <row r="37" spans="1:72" s="6" customFormat="1" ht="12.75" x14ac:dyDescent="0.2">
      <c r="A37" s="39" t="s">
        <v>65</v>
      </c>
      <c r="B37" s="33">
        <f>4599.14+5266.17+6923.25+492.55</f>
        <v>17281.11</v>
      </c>
      <c r="C37" s="52">
        <f>2976.8+3679.38+1005.09+2432.43+1050.71</f>
        <v>11144.41</v>
      </c>
      <c r="D37" s="52"/>
      <c r="E37" s="53"/>
      <c r="F37" s="52"/>
      <c r="G37" s="52">
        <f>37.03+322+523.53</f>
        <v>882.56</v>
      </c>
      <c r="H37" s="52">
        <f>250+86.69+25.26+3.21+515.08</f>
        <v>880.24</v>
      </c>
      <c r="I37" s="52">
        <f>171.6+92+130.09+122.41</f>
        <v>516.1</v>
      </c>
      <c r="J37" s="52"/>
      <c r="K37" s="52">
        <f>64.5+230+95.97+256.8</f>
        <v>647.27</v>
      </c>
      <c r="L37" s="52">
        <f>114.04+56.4+923.56+77.57</f>
        <v>1171.57</v>
      </c>
      <c r="M37" s="52">
        <f>151.84+307.25+59.25</f>
        <v>518.34</v>
      </c>
      <c r="N37" s="52"/>
      <c r="O37" s="52"/>
      <c r="P37" s="52"/>
      <c r="Q37" s="52"/>
      <c r="R37" s="52"/>
      <c r="S37" s="53"/>
      <c r="T37" s="53"/>
      <c r="U37" s="53"/>
      <c r="V37" s="52"/>
      <c r="W37" s="45">
        <f t="shared" si="3"/>
        <v>4616.08</v>
      </c>
    </row>
    <row r="38" spans="1:72" s="6" customFormat="1" ht="12.75" x14ac:dyDescent="0.2">
      <c r="A38" s="39" t="s">
        <v>42</v>
      </c>
      <c r="B38" s="33">
        <f>1764.43+7963+4331.26</f>
        <v>14058.69</v>
      </c>
      <c r="C38" s="52">
        <f>698.3+3947+9162+438.42</f>
        <v>14245.72</v>
      </c>
      <c r="D38" s="52"/>
      <c r="E38" s="53"/>
      <c r="F38" s="52"/>
      <c r="G38" s="52">
        <f>278.34+2131</f>
        <v>2409.34</v>
      </c>
      <c r="H38" s="52">
        <f>370.8+541.19+110.62</f>
        <v>1022.61</v>
      </c>
      <c r="I38" s="52">
        <f>327.88</f>
        <v>327.88</v>
      </c>
      <c r="J38" s="52"/>
      <c r="K38" s="52">
        <f>454</f>
        <v>454</v>
      </c>
      <c r="L38" s="52">
        <f>536.77+3476+22.32</f>
        <v>4035.09</v>
      </c>
      <c r="M38" s="52">
        <f>750.56</f>
        <v>750.56</v>
      </c>
      <c r="N38" s="52"/>
      <c r="O38" s="52"/>
      <c r="P38" s="52"/>
      <c r="Q38" s="52"/>
      <c r="R38" s="52"/>
      <c r="S38" s="53"/>
      <c r="T38" s="53"/>
      <c r="U38" s="53"/>
      <c r="V38" s="52"/>
      <c r="W38" s="45">
        <f t="shared" si="3"/>
        <v>8999.48</v>
      </c>
    </row>
    <row r="39" spans="1:72" s="9" customFormat="1" ht="12.75" x14ac:dyDescent="0.2">
      <c r="A39" s="39" t="s">
        <v>37</v>
      </c>
      <c r="B39" s="32">
        <f>1769.37+3482.02+11497.93+228</f>
        <v>16977.32</v>
      </c>
      <c r="C39" s="51">
        <f>100+3269.97+10656.36+4960.24</f>
        <v>18986.57</v>
      </c>
      <c r="D39" s="51"/>
      <c r="E39" s="50"/>
      <c r="F39" s="51"/>
      <c r="G39" s="51">
        <f>66.91+911.01</f>
        <v>977.92</v>
      </c>
      <c r="H39" s="51">
        <f>120.71+1123.23+547.85</f>
        <v>1791.79</v>
      </c>
      <c r="I39" s="51">
        <f>187.38+817.81</f>
        <v>1005.1899999999999</v>
      </c>
      <c r="J39" s="51"/>
      <c r="K39" s="51">
        <f>71.36+273.49+807.48</f>
        <v>1152.33</v>
      </c>
      <c r="L39" s="51">
        <f>540.31+548.18+1481.81</f>
        <v>2570.2999999999997</v>
      </c>
      <c r="M39" s="51">
        <f>277.57+100+919.13</f>
        <v>1296.7</v>
      </c>
      <c r="N39" s="51"/>
      <c r="O39" s="51"/>
      <c r="P39" s="51"/>
      <c r="Q39" s="51"/>
      <c r="R39" s="51"/>
      <c r="S39" s="50"/>
      <c r="T39" s="50"/>
      <c r="U39" s="50"/>
      <c r="V39" s="51"/>
      <c r="W39" s="45">
        <f t="shared" si="3"/>
        <v>8794.23</v>
      </c>
    </row>
    <row r="40" spans="1:72" ht="12.75" x14ac:dyDescent="0.2">
      <c r="A40" s="39" t="s">
        <v>41</v>
      </c>
      <c r="B40" s="33">
        <f>4470.78+1350</f>
        <v>5820.78</v>
      </c>
      <c r="C40" s="52">
        <f>3675+15</f>
        <v>3690</v>
      </c>
      <c r="D40" s="52"/>
      <c r="E40" s="53"/>
      <c r="F40" s="52"/>
      <c r="G40" s="52">
        <f>385.97</f>
        <v>385.97</v>
      </c>
      <c r="H40" s="52">
        <f>125</f>
        <v>125</v>
      </c>
      <c r="I40" s="52">
        <f>15+1875</f>
        <v>1890</v>
      </c>
      <c r="J40" s="52"/>
      <c r="K40" s="52">
        <f>125</f>
        <v>125</v>
      </c>
      <c r="L40" s="52">
        <f>125</f>
        <v>125</v>
      </c>
      <c r="M40" s="52">
        <f>150</f>
        <v>150</v>
      </c>
      <c r="N40" s="52"/>
      <c r="O40" s="52"/>
      <c r="P40" s="52"/>
      <c r="Q40" s="52"/>
      <c r="R40" s="52"/>
      <c r="S40" s="53"/>
      <c r="T40" s="53"/>
      <c r="U40" s="53"/>
      <c r="V40" s="52"/>
      <c r="W40" s="45">
        <f t="shared" si="3"/>
        <v>2800.9700000000003</v>
      </c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</row>
    <row r="41" spans="1:72" ht="12.75" x14ac:dyDescent="0.2">
      <c r="A41" s="39" t="s">
        <v>64</v>
      </c>
      <c r="B41" s="32">
        <f>1000</f>
        <v>1000</v>
      </c>
      <c r="C41" s="52">
        <f>1917.15+100+1026.61+677.21</f>
        <v>3720.9700000000003</v>
      </c>
      <c r="D41" s="51"/>
      <c r="E41" s="53"/>
      <c r="F41" s="51"/>
      <c r="G41" s="52"/>
      <c r="H41" s="52">
        <f>250+151.3</f>
        <v>401.3</v>
      </c>
      <c r="I41" s="52"/>
      <c r="J41" s="51"/>
      <c r="K41" s="52">
        <f>100+500</f>
        <v>600</v>
      </c>
      <c r="L41" s="52">
        <f>335</f>
        <v>335</v>
      </c>
      <c r="M41" s="52">
        <f>183.98+100</f>
        <v>283.98</v>
      </c>
      <c r="N41" s="51"/>
      <c r="O41" s="52"/>
      <c r="P41" s="52"/>
      <c r="Q41" s="52"/>
      <c r="R41" s="51"/>
      <c r="S41" s="53"/>
      <c r="T41" s="53"/>
      <c r="U41" s="53"/>
      <c r="V41" s="51"/>
      <c r="W41" s="45">
        <f t="shared" si="3"/>
        <v>1620.28</v>
      </c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</row>
    <row r="42" spans="1:72" x14ac:dyDescent="0.25">
      <c r="A42" s="39" t="s">
        <v>39</v>
      </c>
      <c r="B42" s="32"/>
      <c r="C42" s="60">
        <f>1355.3-698.3-190+93.16+73.62+38.26+1367.93+60+382.54+251.75+225-100-15</f>
        <v>2844.26</v>
      </c>
      <c r="D42" s="51"/>
      <c r="E42" s="53"/>
      <c r="F42" s="51"/>
      <c r="G42" s="60">
        <v>109.14</v>
      </c>
      <c r="H42" s="60">
        <f>80</f>
        <v>80</v>
      </c>
      <c r="I42" s="60"/>
      <c r="J42" s="51"/>
      <c r="K42" s="60">
        <v>24.53</v>
      </c>
      <c r="L42" s="60">
        <f>176.96</f>
        <v>176.96</v>
      </c>
      <c r="M42" s="60">
        <f>352+10</f>
        <v>362</v>
      </c>
      <c r="N42" s="51"/>
      <c r="O42" s="60"/>
      <c r="P42" s="60"/>
      <c r="Q42" s="60"/>
      <c r="R42" s="51"/>
      <c r="S42" s="53"/>
      <c r="T42" s="53"/>
      <c r="U42" s="53"/>
      <c r="V42" s="51"/>
      <c r="W42" s="45">
        <f t="shared" si="3"/>
        <v>752.63</v>
      </c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</row>
    <row r="43" spans="1:72" ht="12.75" x14ac:dyDescent="0.2">
      <c r="A43" s="44"/>
      <c r="C43" s="52"/>
      <c r="D43" s="62"/>
      <c r="E43" s="53"/>
      <c r="F43" s="62"/>
      <c r="G43" s="52"/>
      <c r="H43" s="52"/>
      <c r="I43" s="52">
        <v>0</v>
      </c>
      <c r="J43" s="62"/>
      <c r="K43" s="52"/>
      <c r="L43" s="52"/>
      <c r="M43" s="52"/>
      <c r="N43" s="62"/>
      <c r="O43" s="52"/>
      <c r="P43" s="52"/>
      <c r="Q43" s="52"/>
      <c r="R43" s="62"/>
      <c r="S43" s="53"/>
      <c r="T43" s="53"/>
      <c r="U43" s="53"/>
      <c r="V43" s="62"/>
      <c r="W43" s="45">
        <f t="shared" si="3"/>
        <v>0</v>
      </c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</row>
    <row r="44" spans="1:72" s="9" customFormat="1" ht="12.75" x14ac:dyDescent="0.2">
      <c r="A44" s="20" t="s">
        <v>36</v>
      </c>
      <c r="B44" s="32"/>
      <c r="C44" s="63"/>
      <c r="D44" s="51"/>
      <c r="E44" s="50"/>
      <c r="F44" s="51"/>
      <c r="G44" s="63"/>
      <c r="H44" s="63"/>
      <c r="I44" s="63">
        <v>0</v>
      </c>
      <c r="J44" s="51"/>
      <c r="K44" s="63"/>
      <c r="L44" s="63"/>
      <c r="M44" s="63"/>
      <c r="N44" s="51"/>
      <c r="O44" s="63"/>
      <c r="P44" s="63"/>
      <c r="Q44" s="63"/>
      <c r="R44" s="51"/>
      <c r="S44" s="50"/>
      <c r="T44" s="50"/>
      <c r="U44" s="50"/>
      <c r="V44" s="51"/>
      <c r="W44" s="45">
        <f t="shared" si="3"/>
        <v>0</v>
      </c>
    </row>
    <row r="45" spans="1:72" s="9" customFormat="1" ht="12.75" x14ac:dyDescent="0.2">
      <c r="A45" s="38" t="s">
        <v>28</v>
      </c>
      <c r="B45" s="32">
        <f>32810.46</f>
        <v>32810.46</v>
      </c>
      <c r="C45" s="51">
        <v>10873.2</v>
      </c>
      <c r="D45" s="51"/>
      <c r="E45" s="50"/>
      <c r="F45" s="51"/>
      <c r="G45" s="63"/>
      <c r="H45" s="51"/>
      <c r="I45" s="51">
        <v>99</v>
      </c>
      <c r="J45" s="51"/>
      <c r="K45" s="51">
        <f>47.23+70.22+200</f>
        <v>317.45</v>
      </c>
      <c r="L45" s="51">
        <v>160.93</v>
      </c>
      <c r="M45" s="51"/>
      <c r="N45" s="51"/>
      <c r="O45" s="51"/>
      <c r="P45" s="51"/>
      <c r="Q45" s="51"/>
      <c r="R45" s="51"/>
      <c r="S45" s="50"/>
      <c r="T45" s="50"/>
      <c r="U45" s="50"/>
      <c r="V45" s="51"/>
      <c r="W45" s="45">
        <f t="shared" si="3"/>
        <v>577.38</v>
      </c>
    </row>
    <row r="46" spans="1:72" s="9" customFormat="1" ht="12.75" x14ac:dyDescent="0.2">
      <c r="A46" s="38" t="s">
        <v>29</v>
      </c>
      <c r="B46" s="32"/>
      <c r="C46" s="63"/>
      <c r="D46" s="51"/>
      <c r="E46" s="50"/>
      <c r="F46" s="51"/>
      <c r="G46" s="63"/>
      <c r="H46" s="51"/>
      <c r="I46" s="51">
        <v>0</v>
      </c>
      <c r="J46" s="51"/>
      <c r="K46" s="51"/>
      <c r="L46" s="51"/>
      <c r="M46" s="51"/>
      <c r="N46" s="51"/>
      <c r="O46" s="51"/>
      <c r="P46" s="51"/>
      <c r="Q46" s="51"/>
      <c r="R46" s="51"/>
      <c r="S46" s="50"/>
      <c r="T46" s="50"/>
      <c r="U46" s="50"/>
      <c r="V46" s="51"/>
      <c r="W46" s="45">
        <f t="shared" si="3"/>
        <v>0</v>
      </c>
    </row>
    <row r="47" spans="1:72" s="9" customFormat="1" ht="12.75" x14ac:dyDescent="0.2">
      <c r="A47" s="38" t="s">
        <v>30</v>
      </c>
      <c r="B47" s="32"/>
      <c r="C47" s="52">
        <v>18217.66</v>
      </c>
      <c r="D47" s="51"/>
      <c r="E47" s="50"/>
      <c r="F47" s="51"/>
      <c r="G47" s="52">
        <v>392.5</v>
      </c>
      <c r="H47" s="51"/>
      <c r="I47" s="51"/>
      <c r="J47" s="51"/>
      <c r="K47" s="51">
        <v>117.44</v>
      </c>
      <c r="L47" s="51">
        <v>100</v>
      </c>
      <c r="M47" s="51">
        <v>363.5</v>
      </c>
      <c r="N47" s="51"/>
      <c r="O47" s="51"/>
      <c r="P47" s="51"/>
      <c r="Q47" s="51"/>
      <c r="R47" s="51"/>
      <c r="S47" s="50"/>
      <c r="T47" s="50"/>
      <c r="U47" s="50"/>
      <c r="V47" s="51"/>
      <c r="W47" s="45">
        <f t="shared" si="3"/>
        <v>973.44</v>
      </c>
    </row>
    <row r="48" spans="1:72" s="9" customFormat="1" ht="12.75" x14ac:dyDescent="0.2">
      <c r="A48" s="38" t="s">
        <v>43</v>
      </c>
      <c r="B48" s="32"/>
      <c r="C48" s="51">
        <v>12532.06</v>
      </c>
      <c r="D48" s="51"/>
      <c r="E48" s="50"/>
      <c r="F48" s="51"/>
      <c r="G48" s="63"/>
      <c r="H48" s="51">
        <f>103.95+166.68</f>
        <v>270.63</v>
      </c>
      <c r="I48" s="51">
        <f>902.09</f>
        <v>902.09</v>
      </c>
      <c r="J48" s="51"/>
      <c r="K48" s="51">
        <v>10818.2</v>
      </c>
      <c r="L48" s="51">
        <v>8040.75</v>
      </c>
      <c r="M48" s="51">
        <v>217.07</v>
      </c>
      <c r="N48" s="51"/>
      <c r="O48" s="51"/>
      <c r="P48" s="51"/>
      <c r="Q48" s="51"/>
      <c r="R48" s="51"/>
      <c r="S48" s="50"/>
      <c r="T48" s="50"/>
      <c r="U48" s="50"/>
      <c r="V48" s="51"/>
      <c r="W48" s="45">
        <f t="shared" si="3"/>
        <v>20248.739999999998</v>
      </c>
    </row>
    <row r="49" spans="1:72" s="9" customFormat="1" ht="12.75" x14ac:dyDescent="0.2">
      <c r="A49" s="38" t="s">
        <v>56</v>
      </c>
      <c r="B49" s="32"/>
      <c r="C49" s="51">
        <v>2947.44</v>
      </c>
      <c r="D49" s="51"/>
      <c r="E49" s="50"/>
      <c r="F49" s="51"/>
      <c r="G49" s="51">
        <f>42.84+233.95+453.49</f>
        <v>730.28</v>
      </c>
      <c r="H49" s="51">
        <v>6401.07</v>
      </c>
      <c r="I49" s="51">
        <v>5379.4</v>
      </c>
      <c r="J49" s="51"/>
      <c r="K49" s="51"/>
      <c r="L49" s="51"/>
      <c r="M49" s="51"/>
      <c r="N49" s="51"/>
      <c r="O49" s="51"/>
      <c r="P49" s="51"/>
      <c r="Q49" s="51"/>
      <c r="R49" s="51"/>
      <c r="S49" s="50"/>
      <c r="T49" s="50"/>
      <c r="U49" s="50"/>
      <c r="V49" s="51"/>
      <c r="W49" s="45">
        <f t="shared" si="3"/>
        <v>12510.75</v>
      </c>
    </row>
    <row r="50" spans="1:72" s="9" customFormat="1" ht="12.75" x14ac:dyDescent="0.2">
      <c r="A50" s="14"/>
      <c r="B50" s="32"/>
      <c r="C50" s="63"/>
      <c r="D50" s="51"/>
      <c r="E50" s="50"/>
      <c r="F50" s="51"/>
      <c r="G50" s="63"/>
      <c r="H50" s="63"/>
      <c r="I50" s="63">
        <v>0</v>
      </c>
      <c r="J50" s="51"/>
      <c r="K50" s="63"/>
      <c r="L50" s="63"/>
      <c r="M50" s="63"/>
      <c r="N50" s="51"/>
      <c r="O50" s="63"/>
      <c r="P50" s="63"/>
      <c r="Q50" s="63"/>
      <c r="R50" s="51"/>
      <c r="S50" s="50"/>
      <c r="T50" s="50"/>
      <c r="U50" s="50"/>
      <c r="V50" s="51"/>
      <c r="W50" s="45">
        <f t="shared" si="3"/>
        <v>0</v>
      </c>
    </row>
    <row r="51" spans="1:72" s="9" customFormat="1" ht="12.75" x14ac:dyDescent="0.2">
      <c r="A51" s="20" t="s">
        <v>47</v>
      </c>
      <c r="B51" s="32">
        <f>17431.84+10124.64+6458.69+2388.66+6411.08+6923.25</f>
        <v>49738.16</v>
      </c>
      <c r="C51" s="51">
        <f>13366.93+807.75+350+553.03</f>
        <v>15077.710000000001</v>
      </c>
      <c r="D51" s="51"/>
      <c r="E51" s="50"/>
      <c r="F51" s="51"/>
      <c r="G51" s="51">
        <f>3877.59+280</f>
        <v>4157.59</v>
      </c>
      <c r="H51" s="51">
        <f>655.02+222</f>
        <v>877.02</v>
      </c>
      <c r="I51" s="51">
        <f>605.78+21</f>
        <v>626.78</v>
      </c>
      <c r="J51" s="51"/>
      <c r="K51" s="51">
        <f>2741.52+700</f>
        <v>3441.52</v>
      </c>
      <c r="L51" s="51">
        <f>876.07+12</f>
        <v>888.07</v>
      </c>
      <c r="M51" s="51">
        <v>3017.58</v>
      </c>
      <c r="N51" s="51"/>
      <c r="O51" s="51"/>
      <c r="P51" s="51"/>
      <c r="Q51" s="51"/>
      <c r="R51" s="51"/>
      <c r="S51" s="50"/>
      <c r="T51" s="50"/>
      <c r="U51" s="50"/>
      <c r="V51" s="51"/>
      <c r="W51" s="45">
        <f t="shared" si="3"/>
        <v>13008.56</v>
      </c>
    </row>
    <row r="52" spans="1:72" s="9" customFormat="1" ht="12.75" x14ac:dyDescent="0.2">
      <c r="A52" s="20" t="s">
        <v>46</v>
      </c>
      <c r="B52" s="32">
        <f>14198.93</f>
        <v>14198.93</v>
      </c>
      <c r="C52" s="51">
        <f>13966.75+16</f>
        <v>13982.75</v>
      </c>
      <c r="D52" s="51"/>
      <c r="E52" s="50"/>
      <c r="F52" s="51"/>
      <c r="G52" s="51"/>
      <c r="H52" s="51"/>
      <c r="I52" s="51"/>
      <c r="J52" s="51"/>
      <c r="K52" s="51">
        <v>16</v>
      </c>
      <c r="L52" s="51"/>
      <c r="M52" s="51"/>
      <c r="N52" s="51"/>
      <c r="O52" s="51"/>
      <c r="P52" s="51"/>
      <c r="Q52" s="51"/>
      <c r="R52" s="51"/>
      <c r="S52" s="50"/>
      <c r="T52" s="50"/>
      <c r="U52" s="50"/>
      <c r="V52" s="51"/>
      <c r="W52" s="45">
        <f t="shared" si="3"/>
        <v>16</v>
      </c>
    </row>
    <row r="53" spans="1:72" s="9" customFormat="1" ht="12.75" x14ac:dyDescent="0.2">
      <c r="A53" s="20" t="s">
        <v>68</v>
      </c>
      <c r="B53" s="31"/>
      <c r="C53" s="51">
        <v>1003.5</v>
      </c>
      <c r="D53" s="50"/>
      <c r="E53" s="50"/>
      <c r="F53" s="50"/>
      <c r="G53" s="51"/>
      <c r="H53" s="51">
        <v>750</v>
      </c>
      <c r="I53" s="51"/>
      <c r="J53" s="50"/>
      <c r="K53" s="51">
        <v>22.91</v>
      </c>
      <c r="L53" s="51"/>
      <c r="M53" s="51"/>
      <c r="N53" s="50"/>
      <c r="O53" s="51"/>
      <c r="P53" s="51"/>
      <c r="Q53" s="51"/>
      <c r="R53" s="50"/>
      <c r="S53" s="51"/>
      <c r="T53" s="50"/>
      <c r="U53" s="50"/>
      <c r="V53" s="50"/>
      <c r="W53" s="45">
        <f t="shared" si="3"/>
        <v>772.91</v>
      </c>
    </row>
    <row r="54" spans="1:72" s="12" customFormat="1" ht="12.75" x14ac:dyDescent="0.2">
      <c r="A54" s="23" t="s">
        <v>27</v>
      </c>
      <c r="B54" s="42">
        <f>SUM(B34:B53)</f>
        <v>282900.56</v>
      </c>
      <c r="C54" s="54">
        <f>SUM(C34:C53)</f>
        <v>301070.6100000001</v>
      </c>
      <c r="D54" s="51"/>
      <c r="E54" s="54"/>
      <c r="F54" s="51"/>
      <c r="G54" s="54">
        <f>SUM(G34:G53)</f>
        <v>20496.830000000002</v>
      </c>
      <c r="H54" s="54">
        <f>SUM(H34:H53)</f>
        <v>23476.37</v>
      </c>
      <c r="I54" s="54">
        <f>SUM(I34:I53)</f>
        <v>23151.009999999995</v>
      </c>
      <c r="J54" s="51"/>
      <c r="K54" s="54">
        <f>SUM(K34:K53)</f>
        <v>36742.829999999994</v>
      </c>
      <c r="L54" s="54">
        <f>SUM(L34:L53)</f>
        <v>28076.09</v>
      </c>
      <c r="M54" s="54">
        <f>SUM(M34:M53)</f>
        <v>19551.940000000002</v>
      </c>
      <c r="N54" s="51"/>
      <c r="O54" s="54">
        <f>SUM(O34:O53)</f>
        <v>0</v>
      </c>
      <c r="P54" s="54">
        <f>SUM(P34:P53)</f>
        <v>0</v>
      </c>
      <c r="Q54" s="54">
        <f>SUM(Q34:Q53)</f>
        <v>0</v>
      </c>
      <c r="R54" s="51"/>
      <c r="S54" s="54">
        <f>SUM(S34:S53)</f>
        <v>0</v>
      </c>
      <c r="T54" s="54">
        <f>SUM(T34:T53)</f>
        <v>0</v>
      </c>
      <c r="U54" s="54">
        <f>SUM(U34:U53)</f>
        <v>0</v>
      </c>
      <c r="V54" s="51"/>
      <c r="W54" s="54">
        <f>SUM(G54:V54)</f>
        <v>151495.06999999998</v>
      </c>
    </row>
    <row r="55" spans="1:72" s="6" customFormat="1" ht="12.75" x14ac:dyDescent="0.2">
      <c r="A55" s="16"/>
      <c r="B55" s="27"/>
      <c r="C55" s="45"/>
      <c r="D55" s="53"/>
      <c r="E55" s="53"/>
      <c r="F55" s="53"/>
      <c r="G55" s="45"/>
      <c r="H55" s="45"/>
      <c r="I55" s="45"/>
      <c r="J55" s="53"/>
      <c r="K55" s="45"/>
      <c r="L55" s="45"/>
      <c r="M55" s="45"/>
      <c r="N55" s="53"/>
      <c r="O55" s="45"/>
      <c r="P55" s="45"/>
      <c r="Q55" s="45"/>
      <c r="R55" s="53"/>
      <c r="S55" s="45"/>
      <c r="T55" s="45"/>
      <c r="U55" s="45"/>
      <c r="V55" s="53"/>
      <c r="W55" s="45"/>
    </row>
    <row r="56" spans="1:72" s="6" customFormat="1" ht="12.75" x14ac:dyDescent="0.2">
      <c r="A56" s="21" t="s">
        <v>3</v>
      </c>
      <c r="B56" s="27"/>
      <c r="C56" s="45"/>
      <c r="D56" s="53"/>
      <c r="E56" s="53"/>
      <c r="F56" s="53"/>
      <c r="G56" s="45"/>
      <c r="H56" s="45"/>
      <c r="I56" s="45"/>
      <c r="J56" s="53"/>
      <c r="K56" s="45"/>
      <c r="L56" s="45"/>
      <c r="M56" s="45"/>
      <c r="N56" s="53"/>
      <c r="O56" s="45"/>
      <c r="P56" s="45"/>
      <c r="Q56" s="45"/>
      <c r="R56" s="53"/>
      <c r="S56" s="45"/>
      <c r="T56" s="45"/>
      <c r="U56" s="45"/>
      <c r="V56" s="53"/>
      <c r="W56" s="45"/>
    </row>
    <row r="57" spans="1:72" s="9" customFormat="1" ht="12.75" x14ac:dyDescent="0.2">
      <c r="A57" s="20" t="s">
        <v>26</v>
      </c>
      <c r="B57" s="31"/>
      <c r="C57" s="45"/>
      <c r="D57" s="50"/>
      <c r="E57" s="50"/>
      <c r="F57" s="50"/>
      <c r="G57" s="45"/>
      <c r="H57" s="45"/>
      <c r="I57" s="45"/>
      <c r="J57" s="45">
        <f t="shared" ref="J57" si="4">J54-J55</f>
        <v>0</v>
      </c>
      <c r="K57" s="45"/>
      <c r="L57" s="45"/>
      <c r="M57" s="45"/>
      <c r="N57" s="45"/>
      <c r="O57" s="45"/>
      <c r="P57" s="45"/>
      <c r="Q57" s="45"/>
      <c r="R57" s="50"/>
      <c r="S57" s="45"/>
      <c r="T57" s="45"/>
      <c r="U57" s="45"/>
      <c r="V57" s="50"/>
      <c r="W57" s="45"/>
    </row>
    <row r="58" spans="1:72" ht="12.75" x14ac:dyDescent="0.2">
      <c r="A58" s="16"/>
      <c r="B58" s="27"/>
      <c r="C58" s="45"/>
      <c r="D58" s="53"/>
      <c r="E58" s="53"/>
      <c r="F58" s="53"/>
      <c r="G58" s="45"/>
      <c r="H58" s="45"/>
      <c r="I58" s="45"/>
      <c r="J58" s="53"/>
      <c r="K58" s="45"/>
      <c r="L58" s="45"/>
      <c r="M58" s="45"/>
      <c r="N58" s="53"/>
      <c r="O58" s="45"/>
      <c r="P58" s="45"/>
      <c r="Q58" s="45"/>
      <c r="R58" s="53"/>
      <c r="S58" s="45"/>
      <c r="T58" s="45"/>
      <c r="U58" s="45"/>
      <c r="V58" s="53"/>
      <c r="W58" s="45">
        <f>SUM(G58:V58)</f>
        <v>0</v>
      </c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</row>
    <row r="59" spans="1:72" ht="12.75" x14ac:dyDescent="0.2">
      <c r="A59" s="23" t="s">
        <v>54</v>
      </c>
      <c r="B59" s="28">
        <f>SUM(B57:B58)</f>
        <v>0</v>
      </c>
      <c r="C59" s="54">
        <f>SUM(C57:C58)</f>
        <v>0</v>
      </c>
      <c r="D59" s="65"/>
      <c r="E59" s="54"/>
      <c r="F59" s="65"/>
      <c r="G59" s="54">
        <f t="shared" ref="G59:U59" si="5">SUM(G57:G58)</f>
        <v>0</v>
      </c>
      <c r="H59" s="54">
        <f t="shared" si="5"/>
        <v>0</v>
      </c>
      <c r="I59" s="54">
        <f t="shared" si="5"/>
        <v>0</v>
      </c>
      <c r="J59" s="65"/>
      <c r="K59" s="54">
        <f t="shared" si="5"/>
        <v>0</v>
      </c>
      <c r="L59" s="54">
        <f t="shared" si="5"/>
        <v>0</v>
      </c>
      <c r="M59" s="54">
        <f t="shared" si="5"/>
        <v>0</v>
      </c>
      <c r="N59" s="65"/>
      <c r="O59" s="54">
        <f t="shared" si="5"/>
        <v>0</v>
      </c>
      <c r="P59" s="54">
        <f t="shared" si="5"/>
        <v>0</v>
      </c>
      <c r="Q59" s="54">
        <f t="shared" si="5"/>
        <v>0</v>
      </c>
      <c r="R59" s="65"/>
      <c r="S59" s="54">
        <f t="shared" si="5"/>
        <v>0</v>
      </c>
      <c r="T59" s="54">
        <f t="shared" si="5"/>
        <v>0</v>
      </c>
      <c r="U59" s="54">
        <f t="shared" si="5"/>
        <v>0</v>
      </c>
      <c r="V59" s="65"/>
      <c r="W59" s="54">
        <f>SUM(G59:V59)</f>
        <v>0</v>
      </c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</row>
    <row r="60" spans="1:72" ht="12.75" x14ac:dyDescent="0.2">
      <c r="A60" s="19"/>
      <c r="B60" s="28"/>
      <c r="C60" s="46"/>
      <c r="D60" s="51"/>
      <c r="E60" s="46"/>
      <c r="F60" s="51"/>
      <c r="G60" s="46"/>
      <c r="H60" s="46"/>
      <c r="I60" s="46"/>
      <c r="J60" s="51"/>
      <c r="K60" s="46"/>
      <c r="L60" s="46"/>
      <c r="M60" s="46"/>
      <c r="N60" s="51"/>
      <c r="O60" s="46"/>
      <c r="P60" s="46"/>
      <c r="Q60" s="46"/>
      <c r="R60" s="51"/>
      <c r="S60" s="46"/>
      <c r="T60" s="46"/>
      <c r="U60" s="46"/>
      <c r="V60" s="51"/>
      <c r="W60" s="46">
        <f>SUM(G60:K60)</f>
        <v>0</v>
      </c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</row>
    <row r="61" spans="1:72" ht="12.75" x14ac:dyDescent="0.2">
      <c r="A61" s="23" t="s">
        <v>2</v>
      </c>
      <c r="B61" s="28">
        <f>+B54+B59</f>
        <v>282900.56</v>
      </c>
      <c r="C61" s="54">
        <f>+C54+C59</f>
        <v>301070.6100000001</v>
      </c>
      <c r="D61" s="51"/>
      <c r="E61" s="54"/>
      <c r="F61" s="51"/>
      <c r="G61" s="54">
        <f t="shared" ref="G61:U61" si="6">+G54+G59</f>
        <v>20496.830000000002</v>
      </c>
      <c r="H61" s="54">
        <f t="shared" si="6"/>
        <v>23476.37</v>
      </c>
      <c r="I61" s="54">
        <f t="shared" si="6"/>
        <v>23151.009999999995</v>
      </c>
      <c r="J61" s="51"/>
      <c r="K61" s="54">
        <f t="shared" si="6"/>
        <v>36742.829999999994</v>
      </c>
      <c r="L61" s="54">
        <f t="shared" si="6"/>
        <v>28076.09</v>
      </c>
      <c r="M61" s="54">
        <f t="shared" si="6"/>
        <v>19551.940000000002</v>
      </c>
      <c r="N61" s="51"/>
      <c r="O61" s="54">
        <f t="shared" si="6"/>
        <v>0</v>
      </c>
      <c r="P61" s="54">
        <f t="shared" si="6"/>
        <v>0</v>
      </c>
      <c r="Q61" s="54">
        <f t="shared" si="6"/>
        <v>0</v>
      </c>
      <c r="R61" s="51"/>
      <c r="S61" s="54">
        <f t="shared" si="6"/>
        <v>0</v>
      </c>
      <c r="T61" s="54">
        <f t="shared" si="6"/>
        <v>0</v>
      </c>
      <c r="U61" s="54">
        <f t="shared" si="6"/>
        <v>0</v>
      </c>
      <c r="V61" s="51"/>
      <c r="W61" s="54">
        <f>SUM(G61:V61)</f>
        <v>151495.06999999998</v>
      </c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</row>
    <row r="62" spans="1:72" x14ac:dyDescent="0.25">
      <c r="B62" s="29"/>
      <c r="C62" s="47"/>
      <c r="D62" s="51"/>
      <c r="E62" s="47"/>
      <c r="F62" s="51"/>
      <c r="G62" s="47"/>
      <c r="H62" s="47"/>
      <c r="I62" s="47"/>
      <c r="J62" s="51"/>
      <c r="K62" s="47"/>
      <c r="L62" s="47"/>
      <c r="M62" s="47"/>
      <c r="N62" s="51"/>
      <c r="O62" s="47"/>
      <c r="P62" s="47"/>
      <c r="Q62" s="47"/>
      <c r="R62" s="51"/>
      <c r="S62" s="47"/>
      <c r="T62" s="47"/>
      <c r="U62" s="47"/>
      <c r="V62" s="51"/>
      <c r="W62" s="47">
        <f>SUM(G62:V62)</f>
        <v>0</v>
      </c>
    </row>
    <row r="63" spans="1:72" x14ac:dyDescent="0.25">
      <c r="A63" s="23" t="s">
        <v>1</v>
      </c>
      <c r="B63" s="36">
        <f>B30-B61</f>
        <v>65484.669999999984</v>
      </c>
      <c r="C63" s="64">
        <f>C30-C54</f>
        <v>-26293.4200000001</v>
      </c>
      <c r="D63" s="51"/>
      <c r="E63" s="64">
        <f>E30-E61</f>
        <v>0</v>
      </c>
      <c r="F63" s="51"/>
      <c r="G63" s="64">
        <f t="shared" ref="G63:L63" si="7">G30-G54</f>
        <v>644.66999999999825</v>
      </c>
      <c r="H63" s="64">
        <f t="shared" si="7"/>
        <v>13217.219999999998</v>
      </c>
      <c r="I63" s="64">
        <f t="shared" si="7"/>
        <v>-751.94999999999709</v>
      </c>
      <c r="J63" s="64">
        <f t="shared" si="7"/>
        <v>0</v>
      </c>
      <c r="K63" s="64">
        <f t="shared" si="7"/>
        <v>-468.68999999999505</v>
      </c>
      <c r="L63" s="64">
        <f t="shared" si="7"/>
        <v>2203.5</v>
      </c>
      <c r="M63" s="64">
        <f>M30-M61</f>
        <v>130445.67000000001</v>
      </c>
      <c r="N63" s="64"/>
      <c r="O63" s="64">
        <f>O30-O61</f>
        <v>0</v>
      </c>
      <c r="P63" s="64">
        <f>P30-P61</f>
        <v>0</v>
      </c>
      <c r="Q63" s="64">
        <f>Q30-Q61</f>
        <v>0</v>
      </c>
      <c r="R63" s="64"/>
      <c r="S63" s="64">
        <f>S30-S61</f>
        <v>0</v>
      </c>
      <c r="T63" s="64">
        <f>T30-T61</f>
        <v>0</v>
      </c>
      <c r="U63" s="64">
        <f>U30-U61</f>
        <v>0</v>
      </c>
      <c r="V63" s="51"/>
      <c r="W63" s="64">
        <f>W30-W54</f>
        <v>145290.42000000001</v>
      </c>
    </row>
    <row r="64" spans="1:72" x14ac:dyDescent="0.25">
      <c r="B64" s="37"/>
      <c r="C64" s="48"/>
      <c r="D64" s="51"/>
      <c r="E64" s="48"/>
      <c r="F64" s="51"/>
      <c r="G64" s="48"/>
      <c r="H64" s="48"/>
      <c r="I64" s="48"/>
      <c r="J64" s="51"/>
      <c r="K64" s="48"/>
      <c r="L64" s="48"/>
      <c r="M64" s="48"/>
      <c r="N64" s="51"/>
      <c r="O64" s="48"/>
      <c r="P64" s="48"/>
      <c r="Q64" s="48"/>
      <c r="R64" s="51"/>
      <c r="S64" s="48"/>
      <c r="T64" s="48"/>
      <c r="U64" s="48"/>
      <c r="V64" s="51"/>
      <c r="W64" s="48"/>
    </row>
    <row r="65" spans="1:23" hidden="1" x14ac:dyDescent="0.25">
      <c r="A65" s="25" t="s">
        <v>0</v>
      </c>
      <c r="B65" s="41">
        <f>B5+B63</f>
        <v>65484.669999999984</v>
      </c>
      <c r="C65" s="64">
        <f>C5+C63+C59</f>
        <v>1881342.5799999998</v>
      </c>
      <c r="D65" s="51"/>
      <c r="E65" s="64"/>
      <c r="F65" s="51"/>
      <c r="G65" s="64">
        <f>G5+G63+G59</f>
        <v>1881987.2499999998</v>
      </c>
      <c r="H65" s="64">
        <f>H5+H63</f>
        <v>1895204.4699999997</v>
      </c>
      <c r="I65" s="64">
        <f>I5+I63</f>
        <v>-751.94999999999709</v>
      </c>
      <c r="J65" s="51"/>
      <c r="K65" s="64">
        <f>K5+K63</f>
        <v>-1220.6399999999921</v>
      </c>
      <c r="L65" s="64">
        <f>L5+L63</f>
        <v>982.86000000000786</v>
      </c>
      <c r="M65" s="64">
        <f>M5+M63</f>
        <v>131428.53000000003</v>
      </c>
      <c r="N65" s="51"/>
      <c r="O65" s="64">
        <f>O5+O63</f>
        <v>131428.53000000003</v>
      </c>
      <c r="P65" s="64">
        <f>P5+P63</f>
        <v>131428.53000000003</v>
      </c>
      <c r="Q65" s="64">
        <f>Q5+Q63</f>
        <v>131428.53000000003</v>
      </c>
      <c r="R65" s="51"/>
      <c r="S65" s="64">
        <f>S5+S63</f>
        <v>131428.53000000003</v>
      </c>
      <c r="T65" s="64">
        <f>T5+T63</f>
        <v>131428.53000000003</v>
      </c>
      <c r="U65" s="64">
        <f>U5+U63</f>
        <v>131428.53000000003</v>
      </c>
      <c r="V65" s="51"/>
      <c r="W65" s="64">
        <f>W5+W63</f>
        <v>2026632.9999999998</v>
      </c>
    </row>
    <row r="66" spans="1:23" hidden="1" x14ac:dyDescent="0.25">
      <c r="A66" s="5" t="s">
        <v>55</v>
      </c>
      <c r="B66" s="5"/>
      <c r="C66" s="4"/>
      <c r="D66" s="5"/>
      <c r="E66" s="4"/>
      <c r="F66" s="5"/>
      <c r="G66" s="4"/>
      <c r="H66" s="4">
        <v>61203</v>
      </c>
      <c r="I66" s="4"/>
      <c r="J66" s="5"/>
      <c r="K66" s="4"/>
      <c r="L66" s="4"/>
      <c r="M66" s="4"/>
      <c r="N66" s="5"/>
      <c r="O66" s="4"/>
      <c r="P66" s="4"/>
      <c r="Q66" s="4"/>
      <c r="R66" s="5"/>
      <c r="S66" s="4"/>
      <c r="T66" s="4"/>
      <c r="U66" s="4"/>
      <c r="V66" s="5"/>
      <c r="W66" s="37"/>
    </row>
    <row r="67" spans="1:23" x14ac:dyDescent="0.25">
      <c r="A67" s="5" t="s">
        <v>55</v>
      </c>
      <c r="B67" s="5"/>
      <c r="C67" s="51">
        <v>190758</v>
      </c>
      <c r="D67" s="5"/>
      <c r="E67" s="4"/>
      <c r="F67" s="5"/>
      <c r="G67" s="4"/>
      <c r="H67" s="4"/>
      <c r="I67" s="4"/>
      <c r="J67" s="5"/>
      <c r="K67" s="4"/>
      <c r="L67" s="4"/>
      <c r="M67" s="4"/>
      <c r="N67" s="5"/>
      <c r="O67" s="4"/>
      <c r="P67" s="4"/>
      <c r="Q67" s="4"/>
      <c r="R67" s="5"/>
      <c r="S67" s="4"/>
      <c r="T67" s="4"/>
      <c r="U67" s="4"/>
      <c r="V67" s="5"/>
      <c r="W67" s="37"/>
    </row>
  </sheetData>
  <phoneticPr fontId="0" type="noConversion"/>
  <pageMargins left="0.25" right="0.23" top="0.41" bottom="0.45" header="0.24" footer="0.3"/>
  <pageSetup scale="77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Month to Month Equity</vt:lpstr>
      <vt:lpstr>'Month to Month Equity'!Print_Area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 Wang</dc:creator>
  <cp:lastModifiedBy>Sue Wang</cp:lastModifiedBy>
  <cp:lastPrinted>2014-03-19T19:47:41Z</cp:lastPrinted>
  <dcterms:created xsi:type="dcterms:W3CDTF">2012-04-10T21:14:24Z</dcterms:created>
  <dcterms:modified xsi:type="dcterms:W3CDTF">2014-03-19T20:05:56Z</dcterms:modified>
</cp:coreProperties>
</file>